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ables/table3.xml" ContentType="application/vnd.openxmlformats-officedocument.spreadsheetml.table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ables/table4.xml" ContentType="application/vnd.openxmlformats-officedocument.spreadsheetml.table+xml"/>
  <Override PartName="/xl/worksheets/sheet5.xml" ContentType="application/vnd.openxmlformats-officedocument.spreadsheetml.workshee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ables/table5.xml" ContentType="application/vnd.openxmlformats-officedocument.spreadsheetml.table+xml"/>
  <Override PartName="/xl/worksheets/sheet6.xml" ContentType="application/vnd.openxmlformats-officedocument.spreadsheetml.workshee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ables/table6.xml" ContentType="application/vnd.openxmlformats-officedocument.spreadsheetml.table+xml"/>
  <Override PartName="/xl/worksheets/sheet7.xml" ContentType="application/vnd.openxmlformats-officedocument.spreadsheetml.workshee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ables/table7.xml" ContentType="application/vnd.openxmlformats-officedocument.spreadsheetml.table+xml"/>
  <Override PartName="/xl/worksheets/sheet8.xml" ContentType="application/vnd.openxmlformats-officedocument.spreadsheetml.workshee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ables/table8.xml" ContentType="application/vnd.openxmlformats-officedocument.spreadsheetml.table+xml"/>
  <Override PartName="/xl/worksheets/sheet9.xml" ContentType="application/vnd.openxmlformats-officedocument.spreadsheetml.workshee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ables/table9.xml" ContentType="application/vnd.openxmlformats-officedocument.spreadsheetml.table+xml"/>
  <Override PartName="/xl/worksheets/sheet10.xml" ContentType="application/vnd.openxmlformats-officedocument.spreadsheetml.workshee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ables/table10.xml" ContentType="application/vnd.openxmlformats-officedocument.spreadsheetml.table+xml"/>
  <Override PartName="/xl/worksheets/sheet11.xml" ContentType="application/vnd.openxmlformats-officedocument.spreadsheetml.workshee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ables/table11.xml" ContentType="application/vnd.openxmlformats-officedocument.spreadsheetml.table+xml"/>
  <Override PartName="/xl/worksheets/sheet12.xml" ContentType="application/vnd.openxmlformats-officedocument.spreadsheetml.workshee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ables/table12.xml" ContentType="application/vnd.openxmlformats-officedocument.spreadsheetml.table+xml"/>
  <Override PartName="/xl/worksheets/sheet13.xml" ContentType="application/vnd.openxmlformats-officedocument.spreadsheetml.workshee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ables/table13.xml" ContentType="application/vnd.openxmlformats-officedocument.spreadsheetml.table+xml"/>
  <Override PartName="/xl/worksheets/sheet14.xml" ContentType="application/vnd.openxmlformats-officedocument.spreadsheetml.workshee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ables/table14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2" xWindow="240" yWindow="60" windowWidth="0" windowHeight="0" tabRatio="500"/>
  </bookViews>
  <sheets>
    <sheet name="Dashboard" sheetId="1" r:id="rId4"/>
    <sheet name="Werte" sheetId="2" state="hidden" r:id="rId5"/>
    <sheet name="Januar" sheetId="3" r:id="rId6"/>
    <sheet name="Februar" sheetId="4" r:id="rId7"/>
    <sheet name="März" sheetId="5" r:id="rId8"/>
    <sheet name="April" sheetId="6" r:id="rId9"/>
    <sheet name="Mai" sheetId="7" r:id="rId10"/>
    <sheet name="Juni" sheetId="8" r:id="rId11"/>
    <sheet name="Juli" sheetId="9" r:id="rId12"/>
    <sheet name="August" sheetId="10" r:id="rId13"/>
    <sheet name="September" sheetId="11" r:id="rId14"/>
    <sheet name="Oktober" sheetId="12" r:id="rId15"/>
    <sheet name="November" sheetId="13" r:id="rId16"/>
    <sheet name="Dezember" sheetId="14" r:id="rId17"/>
  </sheets>
  <definedNames>
    <definedName name="ereignis">Werte!$A$7:$A$10</definedName>
  </definedNames>
  <calcPr/>
  <extLst>
    <ext uri="smNativeData">
      <pm:revision xmlns:pm="smNativeData" day="1751036389" val="1224" rev="124" rev64="64" revOS="4" revMin="124" revMax="0"/>
      <pm:docPrefs xmlns:pm="smNativeData" id="1751036389" fixedDigits="0" showNotice="1" showProtection="1" showFrameBounds="1" autoChart="1" recalcOnPrint="1" recalcOnCopy="1" tab="567" useDefinedPrintRange="1" printArea="currentSheet"/>
      <pm:compatibility xmlns:pm="smNativeData" id="1751036389"/>
      <pm:defCurrency xmlns:pm="smNativeData" id="1751036389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H1" authorId="0">
      <text>
        <r>
          <rPr>
            <rFont val="Arial"/>
            <charset val="0"/>
            <family val="2"/>
            <sz val="10"/>
            <b/>
            <i val="0"/>
          </rPr>
          <t>Heino Minet:</t>
        </r>
        <r>
          <rPr>
            <rFont val="Arial"/>
            <charset val="0"/>
            <family val="2"/>
            <sz val="10"/>
            <b val="0"/>
            <i val="0"/>
          </rPr>
          <t xml:space="preserve">
Änder der Jahreszahl beeinflusst die Tabellen.</t>
        </r>
      </text>
    </comment>
  </commentList>
</comments>
</file>

<file path=xl/sharedStrings.xml><?xml version="1.0" encoding="utf-8"?>
<sst xmlns="http://schemas.openxmlformats.org/spreadsheetml/2006/main" count="164" uniqueCount="76">
  <si>
    <t>Blutdruckübersicht</t>
  </si>
  <si>
    <t>**</t>
  </si>
  <si>
    <t>Monat</t>
  </si>
  <si>
    <t>Sys</t>
  </si>
  <si>
    <t>Dia</t>
  </si>
  <si>
    <t>Puls</t>
  </si>
  <si>
    <t>Sys*</t>
  </si>
  <si>
    <t>Dia*</t>
  </si>
  <si>
    <t>Puls*</t>
  </si>
  <si>
    <t>Blutdruckwerte</t>
  </si>
  <si>
    <t>kritischer Wert</t>
  </si>
  <si>
    <t>Feiertage</t>
  </si>
  <si>
    <t>Berechnung Ostern</t>
  </si>
  <si>
    <t>Sys</t>
  </si>
  <si>
    <t>Neujahr</t>
  </si>
  <si>
    <t>Dia</t>
  </si>
  <si>
    <t>Heilige drei Könige</t>
  </si>
  <si>
    <t>Karfreitag</t>
  </si>
  <si>
    <t>Ostermontag</t>
  </si>
  <si>
    <t>Ereignisse</t>
  </si>
  <si>
    <t>Ereignisse_2</t>
  </si>
  <si>
    <t>Tag der Arbeit</t>
  </si>
  <si>
    <t>Christi Himmelfahrt</t>
  </si>
  <si>
    <t>Df</t>
  </si>
  <si>
    <t>Durchfall</t>
  </si>
  <si>
    <t>Pfingstmontag</t>
  </si>
  <si>
    <t>Eb</t>
  </si>
  <si>
    <t>Erbrechen</t>
  </si>
  <si>
    <t>Fronleichnam</t>
  </si>
  <si>
    <t>Üb</t>
  </si>
  <si>
    <t>Übelkeit</t>
  </si>
  <si>
    <t>Tag der deutschen Einheit</t>
  </si>
  <si>
    <t>Allerheiligen</t>
  </si>
  <si>
    <t>1. Weihnachtsfeiertag</t>
  </si>
  <si>
    <t>2. Weihnachtsfeiertag</t>
  </si>
  <si>
    <t>Mittelwerte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</si>
  <si>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</si>
  <si>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</si>
  <si>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</si>
  <si>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</si>
  <si>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</si>
  <si>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</si>
  <si>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</si>
  <si>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</si>
  <si>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</si>
  <si>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</si>
  <si>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</si>
  <si>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</si>
  <si>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 xml:space="preserve">       Werte Datum</t>
  </si>
  <si>
    <t>Sys</t>
  </si>
  <si>
    <t>Dia</t>
  </si>
  <si>
    <t>Ereignis</t>
  </si>
  <si>
    <t>Ergebnis</t>
  </si>
  <si>
    <t>Sys</t>
  </si>
  <si>
    <t>Dia</t>
  </si>
  <si>
    <t>Ereignis2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</si>
  <si>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</si>
  <si>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</si>
  <si>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</si>
  <si>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</si>
  <si>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</si>
  <si>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</si>
  <si>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</si>
  <si>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</si>
  <si>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</si>
  <si>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</si>
  <si>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</si>
  <si>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</si>
  <si>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</si>
  <si>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</si>
  <si>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</si>
  <si>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</si>
  <si>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</si>
  <si>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</si>
  <si>
    <t>Sys</t>
  </si>
  <si>
    <t>Dia</t>
  </si>
</sst>
</file>

<file path=xl/styles.xml><?xml version="1.0" encoding="utf-8"?>
<styleSheet xmlns="http://schemas.openxmlformats.org/spreadsheetml/2006/main">
  <numFmts count="15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DD/MM/YYYY"/>
    <numFmt numFmtId="49" formatCode="@"/>
    <numFmt numFmtId="165" formatCode="D/M/YY;@"/>
    <numFmt numFmtId="4" formatCode="#,##0.00"/>
    <numFmt numFmtId="1" formatCode="0"/>
    <numFmt numFmtId="3" formatCode="#,##0"/>
    <numFmt numFmtId="166" formatCode="DDDD"/>
  </numFmts>
  <fonts count="12">
    <font>
      <name val="Arial"/>
      <family val="2"/>
      <color rgb="FF000000"/>
      <sz val="10"/>
      <extLst>
        <ext uri="smNativeData">
          <pm:charSpec xmlns:pm="smNativeData" id="175103638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751036389" ulstyle="none" kern="1">
            <pm:latin face="Bahnschrift" sz="2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8"/>
      <extLst>
        <ext uri="smNativeData">
          <pm:charSpec xmlns:pm="smNativeData" id="1751036389" ulstyle="none" kern="1">
            <pm:latin face="Bahnschrift" sz="36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b/>
      <color rgb="FF000000"/>
      <sz val="11"/>
      <extLst>
        <ext uri="smNativeData">
          <pm:charSpec xmlns:pm="smNativeData" id="1751036389" ulstyle="none" kern="1">
            <pm:latin face="Bahnschrift" sz="220" lang="default" weight="bold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751036389" ulstyle="none" kern="1">
            <pm:latin face="Bahnschrift" sz="220" lang="default"/>
            <pm:cs face="Times New Roman" sz="220" lang="default"/>
            <pm:ea face="SimSun" sz="220" lang="default"/>
          </pm:charSpec>
        </ext>
      </extLst>
    </font>
    <font>
      <name val="Bahnschrift"/>
      <family val="2"/>
      <color rgb="FF000000"/>
      <sz val="12"/>
      <extLst>
        <ext uri="smNativeData">
          <pm:charSpec xmlns:pm="smNativeData" id="1751036389" ulstyle="none" kern="1">
            <pm:latin face="Bahnschrift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51036389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751036389" ulstyle="none" kern="1">
            <pm:latin face="Bahnschrift" sz="220" lang="default"/>
            <pm:cs face="Times New Roman" sz="220" lang="default" weight="bold"/>
            <pm:ea face="SimSun" sz="220" lang="default" weight="bold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751036389" ulstyle="none" kern="1">
            <pm:latin face="Bahnschrift" sz="220" lang="default"/>
            <pm:cs face="Bahnschrift" sz="220" lang="default"/>
            <pm:ea face="Bahnschrift" sz="220" lang="default"/>
          </pm:charSpec>
        </ext>
      </extLst>
    </font>
    <font>
      <name val="Bahnschrift"/>
      <family val="2"/>
      <color rgb="FF000000"/>
      <sz val="7"/>
      <extLst>
        <ext uri="smNativeData">
          <pm:charSpec xmlns:pm="smNativeData" id="1751036389" ulstyle="none" kern="1">
            <pm:latin face="Bahnschrift" sz="14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666666"/>
      <sz val="11"/>
      <extLst>
        <ext uri="smNativeData">
          <pm:charSpec xmlns:pm="smNativeData" id="1751036389" fgClr="666666" ulstyle="none" kern="1">
            <pm:latin face="Bahnschrift" sz="2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4"/>
      <extLst>
        <ext uri="smNativeData">
          <pm:charSpec xmlns:pm="smNativeData" id="1751036389" ulstyle="none" kern="1">
            <pm:latin face="Bahnschrift" sz="280" lang="default"/>
            <pm:cs face="Bahnschrift" sz="280" lang="default"/>
            <pm:ea face="Bahnschrift" sz="280" lang="default"/>
          </pm:charSpec>
        </ext>
      </extLst>
    </font>
  </fonts>
  <fills count="15">
    <fill>
      <patternFill patternType="none"/>
    </fill>
    <fill>
      <patternFill patternType="gray125"/>
    </fill>
    <fill>
      <patternFill patternType="solid">
        <fgColor rgb="FFEDEDED"/>
        <bgColor rgb="FFFFFFFF"/>
        <extLst>
          <ext uri="smNativeData">
            <pm:shade xmlns:pm="smNativeData" id="1751036389" type="1" fgLvl="20" fgClr="00A5A5A5" bgLvl="100" bgClr="00FFFFFF"/>
          </ext>
        </extLst>
      </patternFill>
    </fill>
    <fill>
      <patternFill patternType="solid">
        <fgColor rgb="FFC9C9C9"/>
        <bgColor rgb="FFFFFFFF"/>
        <extLst>
          <ext uri="smNativeData">
            <pm:shade xmlns:pm="smNativeData" id="1751036389" type="1" fgLvl="60" fgClr="00A5A5A5" bgLvl="10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51036389" type="1" fgLvl="82" fgClr="0000FF00" bgLvl="18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751036389" type="1" fgLvl="100" fgClr="00FFFF00" bgLvl="0" bgClr="00000000"/>
          </ext>
        </extLst>
      </patternFill>
    </fill>
    <fill>
      <patternFill patternType="solid">
        <fgColor rgb="FFFF0000"/>
        <bgColor rgb="FFFFFFFF"/>
        <extLst>
          <ext uri="smNativeData">
            <pm:shade xmlns:pm="smNativeData" id="1751036389" type="1" fgLvl="100" fgClr="00FF0000" bgLvl="0" bgClr="00000000"/>
          </ext>
        </extLst>
      </patternFill>
    </fill>
    <fill>
      <patternFill patternType="solid">
        <fgColor rgb="FFFFA4A4"/>
        <bgColor rgb="FFFFFFFF"/>
        <extLst>
          <ext uri="smNativeData">
            <pm:shade xmlns:pm="smNativeData" id="1751036389" type="1" fgLvl="100" fgClr="00FFA4A4" bgLvl="0" bgClr="00FFFFFF"/>
          </ext>
        </extLst>
      </patternFill>
    </fill>
    <fill>
      <patternFill patternType="solid">
        <fgColor rgb="FFFFA4A4"/>
        <bgColor rgb="FFFFFFFF"/>
        <extLst>
          <ext uri="smNativeData">
            <pm:shade xmlns:pm="smNativeData" id="1751036389" type="1" fgLvl="100" fgClr="00FFA4A4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51036389" type="1" fgLvl="20" fgClr="00A5A5A5" bgLvl="100" bgClr="00FFFFFF"/>
          </ext>
        </extLst>
      </patternFill>
    </fill>
    <fill>
      <patternFill patternType="solid">
        <fgColor rgb="FFC9C9C9"/>
        <bgColor rgb="FFFFFFFF"/>
        <extLst>
          <ext uri="smNativeData">
            <pm:shade xmlns:pm="smNativeData" id="1751036389" type="1" fgLvl="60" fgClr="00A5A5A5" bgLvl="100" bgClr="00FFFFFF"/>
          </ext>
        </extLst>
      </patternFill>
    </fill>
    <fill>
      <patternFill patternType="solid">
        <fgColor rgb="FFC9C9C9"/>
        <bgColor rgb="FFFFFFFF"/>
        <extLst>
          <ext uri="smNativeData">
            <pm:shade xmlns:pm="smNativeData" id="1751036389" type="1" fgLvl="60" fgClr="00A5A5A5" bgLvl="100" bgClr="00FFFFFF"/>
          </ext>
        </extLst>
      </patternFill>
    </fill>
    <fill>
      <patternFill patternType="solid">
        <fgColor rgb="FFFFA4A4"/>
        <bgColor rgb="FFFFFFFF"/>
        <extLst>
          <ext uri="smNativeData">
            <pm:shade xmlns:pm="smNativeData" id="1751036389" type="1" fgLvl="100" fgClr="00FFA4A4" bgLvl="0" bgClr="00FFFFFF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751036389" type="1" fgLvl="100" fgClr="00FDE9D9" bgLvl="100" bgClr="00FDE9D9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51036389" type="1" fgLvl="100" fgClr="00FFFFFF" bgLvl="100" bgClr="00000000"/>
          </ext>
        </extLst>
      </patternFill>
    </fill>
  </fills>
  <borders count="1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51036389">
            <pm:line position="bottom" type="1" style="0" width="40" dist="20" width2="20" rgb="000000"/>
          </pm:border>
        </ext>
      </extLst>
    </border>
    <border diagonalDown="1"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thin">
        <color rgb="FF000000"/>
      </diagonal>
      <extLst>
        <ext uri="smNativeData">
          <pm:border xmlns:pm="smNativeData" id="1751036389">
            <pm:line position="lt2rb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51036389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51036389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51036389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1036389"/>
        </ext>
      </extLst>
    </border>
  </borders>
  <cellStyleXfs count="3">
    <xf numFmtId="0" fontId="0" fillId="0" borderId="0" applyNumberFormat="1" applyFont="1" applyFill="1" applyBorder="1" applyAlignment="1" applyProtection="1"/>
    <xf numFmtId="0" fontId="0" fillId="2" borderId="1" applyNumberFormat="0" applyFont="1" applyFill="1" applyBorder="0" applyAlignment="0" applyProtection="0"/>
    <xf numFmtId="0" fontId="0" fillId="3" borderId="2" applyNumberFormat="0" applyFont="1" applyFill="1" applyBorder="0" applyAlignment="0" applyProtection="0"/>
  </cellStyleXfs>
  <cellXfs count="48">
    <xf numFmtId="0" fontId="0" fillId="0" borderId="0" xfId="0"/>
    <xf numFmtId="0" fontId="0" fillId="2" borderId="1" xfId="1"/>
    <xf numFmtId="0" fontId="0" fillId="3" borderId="2" xfId="2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4" borderId="3" xfId="0" applyFont="1" applyFill="1" applyAlignment="1">
      <alignment horizontal="center" vertical="center"/>
    </xf>
    <xf numFmtId="0" fontId="1" fillId="5" borderId="4" xfId="0" applyFont="1" applyFill="1" applyAlignment="1">
      <alignment horizontal="center" vertical="center"/>
    </xf>
    <xf numFmtId="0" fontId="1" fillId="6" borderId="5" xfId="0" applyFont="1" applyFill="1" applyAlignment="1">
      <alignment horizontal="center" vertical="center"/>
    </xf>
    <xf numFmtId="0" fontId="1" fillId="7" borderId="6" xfId="0" applyFont="1" applyFill="1"/>
    <xf numFmtId="0" fontId="2" fillId="8" borderId="7" xfId="0" applyFont="1" applyFill="1" applyBorder="1" applyAlignment="1">
      <alignment horizontal="center"/>
    </xf>
    <xf numFmtId="0" fontId="0" fillId="9" borderId="8" xfId="1" applyAlignment="1">
      <alignment horizontal="justify" wrapText="1"/>
    </xf>
    <xf numFmtId="49" fontId="0" fillId="2" borderId="1" xfId="1" applyNumberFormat="1" applyAlignment="1">
      <alignment horizontal="center" vertical="center"/>
    </xf>
    <xf numFmtId="165" fontId="0" fillId="2" borderId="1" xfId="1" applyNumberFormat="1" applyAlignment="1">
      <alignment horizontal="center" vertical="center"/>
    </xf>
    <xf numFmtId="0" fontId="3" fillId="10" borderId="9" xfId="2" applyFont="1" applyBorder="1" applyAlignment="1">
      <alignment horizontal="center" vertical="center"/>
    </xf>
    <xf numFmtId="4" fontId="3" fillId="10" borderId="9" xfId="2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 hidden="0"/>
    </xf>
    <xf numFmtId="3" fontId="3" fillId="10" borderId="9" xfId="2" applyNumberFormat="1" applyFont="1" applyBorder="1" applyAlignment="1">
      <alignment horizontal="center" vertical="center"/>
    </xf>
    <xf numFmtId="1" fontId="1" fillId="0" borderId="0" xfId="0" applyNumberFormat="1" applyFont="1" applyAlignment="1" applyProtection="1">
      <alignment horizontal="center" vertical="center"/>
      <protection locked="0" hidden="0"/>
    </xf>
    <xf numFmtId="165" fontId="6" fillId="3" borderId="2" xfId="2" applyNumberFormat="1" applyFont="1" applyAlignment="1">
      <alignment horizontal="center" vertical="center"/>
    </xf>
    <xf numFmtId="0" fontId="6" fillId="3" borderId="2" xfId="2" applyFont="1" applyAlignment="1" applyProtection="1">
      <alignment horizontal="center" vertical="center"/>
      <protection locked="0" hidden="0"/>
    </xf>
    <xf numFmtId="1" fontId="7" fillId="0" borderId="0" xfId="2" applyNumberFormat="1" applyFont="1" applyFill="1" applyAlignment="1">
      <alignment horizontal="center" vertical="center"/>
    </xf>
    <xf numFmtId="0" fontId="5" fillId="0" borderId="0" xfId="0" applyFont="1"/>
    <xf numFmtId="164" fontId="5" fillId="0" borderId="0" xfId="0" applyNumberFormat="1" applyFont="1"/>
    <xf numFmtId="164" fontId="0" fillId="0" borderId="0" xfId="0" applyNumberFormat="1"/>
    <xf numFmtId="166" fontId="0" fillId="0" borderId="0" xfId="0" applyNumberFormat="1"/>
    <xf numFmtId="165" fontId="6" fillId="11" borderId="10" xfId="2" applyNumberFormat="1" applyFont="1" applyBorder="1" applyAlignment="1">
      <alignment horizontal="center" vertical="center"/>
    </xf>
    <xf numFmtId="1" fontId="6" fillId="11" borderId="10" xfId="2" applyNumberFormat="1" applyFont="1" applyBorder="1" applyAlignment="1" applyProtection="1">
      <alignment horizontal="center" vertical="center"/>
      <protection locked="0" hidden="0"/>
    </xf>
    <xf numFmtId="165" fontId="3" fillId="11" borderId="10" xfId="2" applyNumberFormat="1" applyFont="1" applyBorder="1" applyAlignment="1">
      <alignment horizontal="center" vertical="center"/>
    </xf>
    <xf numFmtId="0" fontId="3" fillId="11" borderId="10" xfId="2" applyFont="1" applyBorder="1" applyAlignment="1" applyProtection="1">
      <alignment horizontal="center" vertical="center"/>
      <protection locked="0" hidden="0"/>
    </xf>
    <xf numFmtId="0" fontId="1" fillId="0" borderId="0" xfId="0" applyFont="1" applyAlignment="1">
      <alignment horizontal="center"/>
    </xf>
    <xf numFmtId="0" fontId="3" fillId="11" borderId="10" xfId="2" applyFont="1" applyBorder="1"/>
    <xf numFmtId="165" fontId="3" fillId="3" borderId="2" xfId="2" applyNumberFormat="1" applyFont="1" applyAlignment="1">
      <alignment horizontal="center" vertical="center"/>
    </xf>
    <xf numFmtId="0" fontId="3" fillId="3" borderId="2" xfId="2" applyFont="1" applyAlignment="1" applyProtection="1">
      <alignment horizontal="center" vertical="center"/>
      <protection locked="0" hidden="0"/>
    </xf>
    <xf numFmtId="0" fontId="6" fillId="11" borderId="10" xfId="2" applyFont="1" applyBorder="1" applyAlignment="1" applyProtection="1">
      <alignment horizontal="center" vertical="center"/>
      <protection locked="0" hidden="0"/>
    </xf>
    <xf numFmtId="1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9" fillId="0" borderId="0" xfId="0" applyFont="1"/>
    <xf numFmtId="0" fontId="10" fillId="12" borderId="11" xfId="0" applyFont="1" applyFill="1" applyBorder="1"/>
    <xf numFmtId="0" fontId="10" fillId="7" borderId="6" xfId="0" applyFont="1" applyFill="1"/>
    <xf numFmtId="0" fontId="10" fillId="8" borderId="7" xfId="0" applyFont="1" applyFill="1" applyBorder="1"/>
    <xf numFmtId="0" fontId="10" fillId="12" borderId="11" xfId="0" applyFont="1" applyFill="1" applyBorder="1" applyAlignment="1">
      <alignment horizontal="center" vertical="center"/>
    </xf>
    <xf numFmtId="1" fontId="10" fillId="7" borderId="6" xfId="0" applyNumberFormat="1" applyFont="1" applyFill="1" applyAlignment="1">
      <alignment horizontal="center" vertical="center"/>
    </xf>
    <xf numFmtId="1" fontId="10" fillId="8" borderId="7" xfId="0" applyNumberFormat="1" applyFont="1" applyFill="1" applyBorder="1" applyAlignment="1">
      <alignment horizontal="center" vertical="center"/>
    </xf>
    <xf numFmtId="0" fontId="2" fillId="7" borderId="6" xfId="0" applyFont="1" applyFill="1"/>
    <xf numFmtId="0" fontId="2" fillId="8" borderId="7" xfId="0" applyFont="1" applyFill="1" applyBorder="1" applyAlignment="1" applyProtection="1">
      <alignment horizontal="center"/>
      <protection locked="0" hidden="0"/>
    </xf>
    <xf numFmtId="1" fontId="1" fillId="0" borderId="0" xfId="2" applyNumberFormat="1" applyFont="1" applyFill="1" applyAlignment="1">
      <alignment horizontal="center" vertical="center"/>
    </xf>
    <xf numFmtId="0" fontId="1" fillId="7" borderId="6" xfId="0" applyFont="1" applyFill="1" applyAlignment="1">
      <alignment horizontal="left" vertical="top"/>
    </xf>
  </cellXfs>
  <cellStyles count="3">
    <cellStyle name="Normal" xfId="0" builtinId="0" customBuiltin="1"/>
    <cellStyle name="20% - Accent3" xfId="1" builtinId="38" customBuiltin="1"/>
    <cellStyle name="60% - Accent3" xfId="2" builtinId="40" customBuiltin="1"/>
  </cellStyles>
  <dxfs count="242">
    <dxf>
      <fill>
        <patternFill patternType="solid">
          <bgColor rgb="FFC8C8C8"/>
          <extLst>
            <ext uri="smNativeData">
              <pm:shade xmlns:pm="smNativeData" id="1751036389" type="1" fgLvl="13" fgClr="00000000" bgLvl="255" bgClr="00E6E6E6"/>
            </ext>
          </extLst>
        </patternFill>
      </fill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name val="Algerian"/>
        <family val="5"/>
        <color rgb="FF0000FF"/>
        <sz val="11"/>
        <extLst>
          <ext uri="smNativeData">
            <pm:charSpec xmlns:pm="smNativeData" id="1751036389" fgClr="0000FF">
              <pm:latin face="Algerian" sz="220"/>
              <pm:cs face="Algerian" sz="220"/>
              <pm:ea face="Algerian" sz="220"/>
            </pm:charSpec>
          </ext>
        </extLst>
      </font>
      <fill>
        <patternFill patternType="none"/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FF00"/>
        <extLst>
          <ext uri="smNativeData">
            <pm:charSpec xmlns:pm="smNativeData" id="1751036389" fgClr="FFFF00">
              <pm:latin/>
              <pm:cs/>
              <pm:ea/>
            </pm:charSpec>
          </ext>
        </extLst>
      </font>
      <numFmt numFmtId="1" formatCode="0"/>
    </dxf>
    <dxf>
      <font>
        <color rgb="FF00FF00"/>
        <extLst>
          <ext uri="smNativeData">
            <pm:charSpec xmlns:pm="smNativeData" id="1751036389" fgClr="00FF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numFmt numFmtId="1" formatCode="0"/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ont>
        <color rgb="FFFF0000"/>
        <extLst>
          <ext uri="smNativeData">
            <pm:charSpec xmlns:pm="smNativeData" id="1751036389" fgClr="FF0000">
              <pm:latin/>
              <pm:cs/>
              <pm:ea/>
            </pm:charSpec>
          </ext>
        </extLst>
      </font>
      <fill>
        <patternFill patternType="solid">
          <bgColor rgb="FFFFB3B3"/>
          <extLst>
            <ext uri="smNativeData">
              <pm:shade xmlns:pm="smNativeData" id="1751036389" type="1" fgLvl="30" fgClr="00FF0000" bgLvl="255" bgClr="00FFFFFF"/>
            </ext>
          </extLst>
        </patternFill>
      </fill>
    </dxf>
    <dxf>
      <fill>
        <patternFill patternType="solid">
          <bgColor rgb="FFFF5C5C"/>
          <extLst>
            <ext uri="smNativeData">
              <pm:shade xmlns:pm="smNativeData" id="1751036389" type="1" fgLvl="0" fgClr="00000000" bgLvl="255" bgClr="00FF5C5C"/>
            </ext>
          </extLst>
        </patternFill>
      </fill>
    </dxf>
  </dxfs>
  <tableStyles count="0"/>
  <extLst>
    <ext uri="smNativeData">
      <pm:charStyles xmlns:pm="smNativeData" id="1751036389" count="1">
        <pm:charStyle name="Normal" fontId="0"/>
      </pm:charStyles>
      <pm:colors xmlns:pm="smNativeData" id="1751036389" count="41">
        <pm:color name="Blutdruck" rgb="FFA4A4"/>
        <pm:color name="Farbe 25" rgb="018001"/>
        <pm:color name="Farbe 26" rgb="00A300"/>
        <pm:color name="Farbe 27" rgb="00D100"/>
        <pm:color name="Farbe 28" rgb="800101"/>
        <pm:color name="Farbe 29" rgb="A30000"/>
        <pm:color name="Farbe 30" rgb="D10000"/>
        <pm:color name="Farbe 31" rgb="018080"/>
        <pm:color name="Farbe 32" rgb="00A3A3"/>
        <pm:color name="Farbe 33" rgb="00D1D1"/>
        <pm:color name="Farbe 34" rgb="3D3DFF"/>
        <pm:color name="Farbe 35" rgb="5C5CFF"/>
        <pm:color name="Farbe 36" rgb="FF9EFF"/>
        <pm:color name="Farbe 37" rgb="FFE0FF"/>
        <pm:color name="Farbe 38" rgb="F0F0E0"/>
        <pm:color name="Farbe 39" rgb="E0E0FF"/>
        <pm:color name="Farbe 40" rgb="E0FFFF"/>
        <pm:color name="Farbe 41" rgb="9EFFFF"/>
        <pm:color name="Farbe 42" rgb="9E9EFF"/>
        <pm:color name="Farbe 43" rgb="9EFF9E"/>
        <pm:color name="Farbe 44" rgb="E0FFE0"/>
        <pm:color name="Farbe 45" rgb="FF5C5C"/>
        <pm:color name="Farbe 46" rgb="FFE0E0"/>
        <pm:color name="Farbe 47" rgb="A5A5A5"/>
        <pm:color name="Farbe 48" rgb="EDEDED"/>
        <pm:color name="Farbe 49" rgb="95B3D7"/>
        <pm:color name="Farbe 50" rgb="DCE6F1"/>
        <pm:color name="Farbe 51" rgb="4F81BD"/>
        <pm:color name="Farbe 52" rgb="C9C9C9"/>
        <pm:color name="Farbe 53" rgb="DE0000"/>
        <pm:color name="Farbe 54" rgb="F79646"/>
        <pm:color name="Farbe 55" rgb="E26B0A"/>
        <pm:color name="Farbe 56" rgb="FDE9D9"/>
        <pm:color name="Farbe 57" rgb="808001"/>
        <pm:color name="Farbe 58" rgb="A3A300"/>
        <pm:color name="Farbe 59" rgb="FF3D3D"/>
        <pm:color name="Farbe 60" rgb="FF9E9E"/>
        <pm:color name="Farbe 61" rgb="FFB3B3"/>
        <pm:color name="Farbe 62" rgb="D1D100"/>
        <pm:color name="Farbe 63" rgb="FFFF3D"/>
        <pm:color name="Farbe 64" rgb="C8C8C8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barChart>
        <c:barDir val="col"/>
        <c:grouping val="standard"/>
        <c:ser>
          <c:idx val="0"/>
          <c:order val="0"/>
          <c:tx>
            <c:strRef>
              <c:f>Werte!$B$18</c:f>
              <c:strCache>
                <c:ptCount val="1"/>
                <c:pt idx="0">
                  <c:v>Sys</c:v>
                </c:pt>
              </c:strCache>
            </c:strRef>
          </c:tx>
          <c:spPr>
            <a:solidFill>
              <a:srgbClr val="018080"/>
            </a:solidFill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Werte!$B$19:$B$30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Werte!$C$18</c:f>
              <c:strCache>
                <c:ptCount val="1"/>
                <c:pt idx="0">
                  <c:v>Dia</c:v>
                </c:pt>
              </c:strCache>
            </c:strRef>
          </c:tx>
          <c:spPr>
            <a:solidFill>
              <a:srgbClr val="00A3A3"/>
            </a:solidFill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Werte!$C$19:$C$30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Werte!$D$18</c:f>
              <c:strCache>
                <c:ptCount val="1"/>
                <c:pt idx="0">
                  <c:v>Puls</c:v>
                </c:pt>
              </c:strCache>
            </c:strRef>
          </c:tx>
          <c:spPr>
            <a:solidFill>
              <a:srgbClr val="00D1D1"/>
            </a:solidFill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Werte!$D$19:$D$30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Werte!$E$18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Werte!$E$19:$E$30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Werte!$F$18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Werte!$F$19:$F$30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Werte!$G$18</c:f>
              <c:strCache>
                <c:ptCount val="1"/>
                <c:pt idx="0">
                  <c:v>Puls*</c:v>
                </c:pt>
              </c:strCache>
            </c:strRef>
          </c:tx>
          <c:cat>
            <c:strRef>
              <c:f>Werte!$A$19:$A$30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Werte!$G$19:$G$30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#,##0">
                  <c:v>0</c:v>
                </c:pt>
              </c:numCache>
            </c:numRef>
          </c:val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00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rot="-5400000"/>
          <a:lstStyle/>
          <a:p>
            <a:pPr>
              <a:defRPr/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en-us" sz="162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Januar!$B$1</c:f>
              <c:strCache>
                <c:ptCount val="1"/>
                <c:pt idx="0">
                  <c:v>Sys</c:v>
                </c:pt>
              </c:strCache>
            </c:strRef>
          </c:tx>
          <c:spPr>
            <a:ln w="9525">
              <a:solidFill>
                <a:srgbClr val="9E9EFF"/>
              </a:solidFill>
            </a:ln>
          </c:spPr>
          <c:marker>
            <c:symbol val="square"/>
            <c:size val="4"/>
            <c:spPr>
              <a:solidFill>
                <a:srgbClr val="9E9E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Januar!$B$2:$B$32</c:f>
              <c:numCache>
                <c:formatCode>0</c:formatCode>
                <c:ptCount val="31"/>
                <c:pt idx="0">
                  <c:v>11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Januar!$C$1</c:f>
              <c:strCache>
                <c:ptCount val="1"/>
                <c:pt idx="0">
                  <c:v>Dia</c:v>
                </c:pt>
              </c:strCache>
            </c:strRef>
          </c:tx>
          <c:spPr>
            <a:ln w="9525">
              <a:solidFill>
                <a:srgbClr val="9EFFFF"/>
              </a:solidFill>
            </a:ln>
          </c:spPr>
          <c:marker>
            <c:symbol val="circle"/>
            <c:size val="4"/>
            <c:spPr>
              <a:solidFill>
                <a:srgbClr val="9E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Januar!$C$2:$C$32</c:f>
              <c:numCache>
                <c:formatCode>0</c:formatCode>
                <c:ptCount val="31"/>
                <c:pt idx="0">
                  <c:v>22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Januar!$D$1</c:f>
              <c:strCache>
                <c:ptCount val="1"/>
                <c:pt idx="0">
                  <c:v>Puls</c:v>
                </c:pt>
              </c:strCache>
            </c:strRef>
          </c:tx>
          <c:spPr>
            <a:ln w="9525">
              <a:solidFill>
                <a:srgbClr val="E0FFFF"/>
              </a:solidFill>
            </a:ln>
          </c:spPr>
          <c:marker>
            <c:symbol val="diamond"/>
            <c:size val="4"/>
            <c:spPr>
              <a:solidFill>
                <a:srgbClr val="E0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Januar!$D$2:$D$32</c:f>
              <c:numCache>
                <c:formatCode>0</c:formatCode>
                <c:ptCount val="31"/>
                <c:pt idx="0">
                  <c:v>33</c:v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Januar!$E$1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Januar!$E$2:$E$32</c:f>
              <c:numCache>
                <c:formatCode>0</c:formatCode>
                <c:ptCount val="31"/>
                <c:pt idx="0">
                  <c:v>45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Januar!$F$1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Januar!$F$2:$F$32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Januar!$G$1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Januar!$G$2:$G$32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Februar!$B$1</c:f>
              <c:strCache>
                <c:ptCount val="1"/>
                <c:pt idx="0">
                  <c:v>Sys</c:v>
                </c:pt>
              </c:strCache>
            </c:strRef>
          </c:tx>
          <c:spPr>
            <a:ln w="9525">
              <a:solidFill>
                <a:srgbClr val="E0FFFF"/>
              </a:solidFill>
            </a:ln>
          </c:spPr>
          <c:marker>
            <c:symbol val="square"/>
            <c:size val="4"/>
            <c:spPr>
              <a:solidFill>
                <a:srgbClr val="E0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Februar!$C$1</c:f>
              <c:strCache>
                <c:ptCount val="1"/>
                <c:pt idx="0">
                  <c:v>Dia</c:v>
                </c:pt>
              </c:strCache>
            </c:strRef>
          </c:tx>
          <c:spPr>
            <a:ln w="9525">
              <a:solidFill>
                <a:srgbClr val="9EFFFF"/>
              </a:solidFill>
            </a:ln>
          </c:spPr>
          <c:marker>
            <c:symbol val="circle"/>
            <c:size val="4"/>
            <c:spPr>
              <a:solidFill>
                <a:srgbClr val="9E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Februar!$D$1</c:f>
              <c:strCache>
                <c:ptCount val="1"/>
                <c:pt idx="0">
                  <c:v>Puls</c:v>
                </c:pt>
              </c:strCache>
            </c:strRef>
          </c:tx>
          <c:spPr>
            <a:ln w="9525">
              <a:solidFill>
                <a:srgbClr val="9E9EFF"/>
              </a:solidFill>
            </a:ln>
          </c:spPr>
          <c:marker>
            <c:symbol val="diamond"/>
            <c:size val="4"/>
            <c:spPr>
              <a:solidFill>
                <a:srgbClr val="9E9EFF"/>
              </a:solidFill>
              <a:ln>
                <a:solidFill>
                  <a:srgbClr val="DE855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en-us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Februar!$E$1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Februar!$F$1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Februar!$F$2:$F$32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Februar!$G$1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Februar!$G$2:$G$32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März!$B$1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März!$C$1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März!$D$1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März!$E$1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März!$F$1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März!$F$2:$F$32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März!$G$1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März!$G$2:$G$32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April!$B$1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April!$B$2:$B$33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April!$C$1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April!$C$2:$C$33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April!$D$1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April!$D$2:$D$33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April!$E$1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April!$E$2:$E$33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April!$F$1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April!$F$2:$F$33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April!$G$1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April!$G$2:$G$33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 formatCode="General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Mai!$B$1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Mai!$C$1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Mai!$D$1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Mai!$E$1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Mai!$F$1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Mai!$F$2:$F$32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Mai!$G$1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Mai!$G$2:$G$32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Juni!$B$1</c:f>
              <c:strCache>
                <c:ptCount val="1"/>
                <c:pt idx="0">
                  <c:v>Sys</c:v>
                </c:pt>
              </c:strCache>
            </c:strRef>
          </c:tx>
          <c:spPr>
            <a:ln w="9525">
              <a:solidFill>
                <a:srgbClr val="E0FFFF"/>
              </a:solidFill>
            </a:ln>
          </c:spPr>
          <c:marker>
            <c:symbol val="square"/>
            <c:size val="4"/>
            <c:spPr>
              <a:solidFill>
                <a:srgbClr val="E0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Juni!$B$2:$B$31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Juni!$C$1</c:f>
              <c:strCache>
                <c:ptCount val="1"/>
                <c:pt idx="0">
                  <c:v>Dia</c:v>
                </c:pt>
              </c:strCache>
            </c:strRef>
          </c:tx>
          <c:spPr>
            <a:ln w="9525">
              <a:solidFill>
                <a:srgbClr val="9EFFFF"/>
              </a:solidFill>
            </a:ln>
          </c:spPr>
          <c:marker>
            <c:symbol val="circle"/>
            <c:size val="4"/>
            <c:spPr>
              <a:solidFill>
                <a:srgbClr val="9EFF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Juni!$C$2:$C$31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Juni!$D$1</c:f>
              <c:strCache>
                <c:ptCount val="1"/>
                <c:pt idx="0">
                  <c:v>Puls</c:v>
                </c:pt>
              </c:strCache>
            </c:strRef>
          </c:tx>
          <c:spPr>
            <a:ln w="9525">
              <a:solidFill>
                <a:srgbClr val="9E9EFF"/>
              </a:solidFill>
            </a:ln>
          </c:spPr>
          <c:marker>
            <c:symbol val="diamond"/>
            <c:size val="4"/>
            <c:spPr>
              <a:solidFill>
                <a:srgbClr val="9E9EFF"/>
              </a:solidFill>
              <a:ln>
                <a:noFill/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Juni!$D$2:$D$31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Juni!$E$1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Juni!$E$2:$E$33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Juni!$F$1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Juni!$F$2:$F$31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Juni!$G$1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Juni!$G$2:$G$31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Juli!$B$1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Juli!$C$1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Juli!$D$1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Juli!$E$1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Juli!$F$1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Juli!$F$2:$F$32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Juli!$G$1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Juli!$G$2:$G$32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August!$B$1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August!$C$1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August!$D$1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August!$E$1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August!$F$1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August!$F$2:$F$32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August!$G$1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August!$G$2:$G$32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September!$B$1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September!$B$2:$B$33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September!$C$1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September!$C$2:$C$33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September!$D$1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September!$D$2:$D$33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September!$E$1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September!$E$2:$E$33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September!$F$1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September!$F$2:$F$33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September!$G$1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September!$G$2:$G$33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Oktober!$B$1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Oktober!$C$1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Oktober!$D$1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Oktober!$E$1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Oktober!$F$1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Oktober!$F$2:$F$32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Oktober!$G$1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Oktober!$G$2:$G$32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November!$B$1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November!$B$2:$B$33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November!$C$1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November!$C$2:$C$33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November!$D$1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November!$D$2:$D$33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November!$E$1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November!$E$2:$E$33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November!$F$1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November!$F$2:$F$33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November!$G$1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November!$G$2:$G$33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/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8"/>
  <c:chart>
    <c:autoTitleDeleted val="1"/>
    <c:plotArea>
      <c:layout/>
      <c:lineChart>
        <c:grouping val="standard"/>
        <c:ser>
          <c:idx val="0"/>
          <c:order val="0"/>
          <c:tx>
            <c:strRef>
              <c:f>Dezember!$B$1</c:f>
              <c:strCache>
                <c:ptCount val="1"/>
                <c:pt idx="0">
                  <c:v>Sys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Dezember!$B$2:$B$32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Dezember!$C$1</c:f>
              <c:strCache>
                <c:ptCount val="1"/>
                <c:pt idx="0">
                  <c:v>Dia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Dezember!$C$2:$C$32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Dezember!$D$1</c:f>
              <c:strCache>
                <c:ptCount val="1"/>
                <c:pt idx="0">
                  <c:v>Puls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Dezember!$D$2:$D$32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strRef>
              <c:f>Dezember!$E$1</c:f>
              <c:strCache>
                <c:ptCount val="1"/>
                <c:pt idx="0">
                  <c:v>Sys*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Dezember!$E$2:$E$32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strRef>
              <c:f>Dezember!$F$1</c:f>
              <c:strCache>
                <c:ptCount val="1"/>
                <c:pt idx="0">
                  <c:v>Dia*</c:v>
                </c:pt>
              </c:strCache>
            </c:strRef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Dezember!$F$2:$F$32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5"/>
          <c:order val="5"/>
          <c:tx>
            <c:strRef>
              <c:f>Dezember!$G$1</c:f>
              <c:strCache>
                <c:ptCount val="1"/>
                <c:pt idx="0">
                  <c:v>Puls*</c:v>
                </c:pt>
              </c:strCache>
            </c:strRef>
          </c:tx>
          <c:val>
            <c:numRef>
              <c:f>Dezember!$G$2:$G$32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" uri="sm">
            <sm:boxPlot xmlns:sm="sm" val="0"/>
            <sm:turned xmlns:sm="sm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en-us" sz="147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51036389" val="13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 ?>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 ?>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 ?>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 ?>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 ?>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 ?>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 ?>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 ?>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2</xdr:row>
      <xdr:rowOff>32385</xdr:rowOff>
    </xdr:from>
    <xdr:to>
      <xdr:col>11</xdr:col>
      <xdr:colOff>704850</xdr:colOff>
      <xdr:row>22</xdr:row>
      <xdr:rowOff>0</xdr:rowOff>
    </xdr:to>
    <xdr:sp macro="">
      <xdr:nvSpPr>
        <xdr:cNvPr id="5" name="Textbox2"/>
        <xdr:cNvSpPr>
          <a:extLst>
            <a:ext uri="smNativeData">
              <pm:smNativeData xmlns:pm="smNativeData" val="SMDATA_14_5bFeaBMAAAAlAAAAZAAAAI8BAAAAkAAAAEgAAACQAAAASAAAAAAAAAAAAAAAAAAAAAEAAABQAAAAAAAAAAAA4D8AAAAAAADgPwAAAAAAAOA/AAAAAAAA4D8AAAAAAADgPwAAAAAAAOA/AAAAAAAA4D8AAAAAAADgPwAAAAAAAOA/AAAAAAAA4D8CAAAAjAAAAAEAAAAAAAAA5ubmAAAAAAAAAAAAAAAAAAAAAAAAAAAAAAAAAAAAAAAAAAAAZAAAAAEAAABAAAAAAAAAAAAAAAAAAAAAAAAAAAAAAAAAAAAAAAAAAAAAAAAAAAAAAAAAAAAAAAAAAAAAAAAAAAAAAAAAAAAAAAAAAAAAAAAAAAAAAAAAAAAAAAAAAAAAFAAAADwAAAABAAAAAAAAAP+kpAAUAAAAAQAAABQAAAAUAAAAFAAAAAEAAAAAAAAAZAAAAGQAAAAAAAAAZAAAAGQAAAAVAAAAYAAAAAAAAAAAAAAADwAAACADAAAAAAAAAAAAAAEAAACgMgAAVgcAAKr4//8BAAAAf39/AAEAAABkAAAAAAAAABQAAABAHwAAAAAAACYAAAAAAAAAwOD//wAAAAAmAAAAZAAAABYAAABMAAAAAQAAAAAAAAAIAAAAAAAAAAEAAABmZmYAMgAAAIwAAACMAAAAUAAAAFAAAAAAAAAAzMzMAAAAAABQAAAAUAAAAGQAAABkAAAAAAAAABcAAAAUAAAAAAAAAAAAAAAAWgAAAFoAAAAAAAAJAAAABAAAACAoIwweAAAAaAAAAAAAAAAAAAAAAAAAAAAAAAAAAAAAECcAABAnAAAAAAAAAAAAAAAAAAAAAAAAAAAAAAAAAAAAAAAAAAAAAMg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IAAAABAAAApQAABBYAAAALAAAAAAAABKwIAABiAwAAXCsAALQXAAAAAAAAMAAAABQAAAAAAAAAAAD//wAAAQAAAP//AAABAA=="/>
            </a:ext>
          </a:extLst>
        </xdr:cNvSpPr>
      </xdr:nvSpPr>
      <xdr:spPr>
        <a:xfrm>
          <a:off x="1409700" y="549910"/>
          <a:ext cx="7048500" cy="3853180"/>
        </a:xfrm>
        <a:prstGeom prst="rect">
          <a:avLst/>
        </a:prstGeom>
        <a:solidFill>
          <a:srgbClr val="E6E6E6"/>
        </a:solidFill>
        <a:ln w="12700" cap="flat">
          <a:solidFill>
            <a:srgbClr val="FFA4A4"/>
          </a:solidFill>
          <a:prstDash val="solid"/>
          <a:headEnd type="none" w="med" len="med"/>
          <a:tailEnd type="none" w="med" len="med"/>
        </a:ln>
        <a:effectLst>
          <a:outerShdw blurRad="127000" dist="125724" dir="2700000" sx="80000" sy="80000" algn="br">
            <a:srgbClr val="666666">
              <a:alpha val="50000"/>
            </a:srgbClr>
          </a:outerShdw>
        </a:effectLst>
      </xdr:spPr>
    </xdr:sp>
    <xdr:clientData/>
  </xdr:twoCellAnchor>
  <xdr:twoCellAnchor>
    <xdr:from>
      <xdr:col>1</xdr:col>
      <xdr:colOff>704850</xdr:colOff>
      <xdr:row>2</xdr:row>
      <xdr:rowOff>27305</xdr:rowOff>
    </xdr:from>
    <xdr:to>
      <xdr:col>11</xdr:col>
      <xdr:colOff>704850</xdr:colOff>
      <xdr:row>23</xdr:row>
      <xdr:rowOff>0</xdr:rowOff>
    </xdr:to>
    <xdr:graphicFrame macro="">
      <xdr:nvGraphicFramePr>
        <xdr:cNvPr id="4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704850</xdr:colOff>
      <xdr:row>1</xdr:row>
      <xdr:rowOff>0</xdr:rowOff>
    </xdr:from>
    <xdr:to>
      <xdr:col>23</xdr:col>
      <xdr:colOff>704850</xdr:colOff>
      <xdr:row>14</xdr:row>
      <xdr:rowOff>0</xdr:rowOff>
    </xdr:to>
    <xdr:sp macro="">
      <xdr:nvSpPr>
        <xdr:cNvPr id="3" name="Textbox1"/>
        <xdr:cNvSpPr txBox="1">
          <a:extLst>
            <a:ext uri="smNativeData">
              <pm:smNativeData xmlns:pm="smNativeData" val="SMDATA_14_5bFeaBMAAAAlAAAAEgAAAI8BAAAAkAAAAEgAAACQAAAASAAAAAAAAAAAAAAAAAAAAAEAAABQAAAAAAAAAAAA4D8AAAAAAADgPwAAAAAAAOA/AAAAAAAA4D8AAAAAAADgPwAAAAAAAOA/AAAAAAAA4D8AAAAAAADgPwAAAAAAAOA/AAAAAAAA4D8CAAAAjAAAAAEAAAAAAAAA/6SkAAAAAAAAAAAAAAAAAAAAAAAAAAAAAAAAAAAAAAAAAAAAZAAAAAEAAABAAAAAAAAAAAAAAAAAAAAAAAAAAAAAAAAAAAAAAAAAAAAAAAAAAAAAAAAAAAAAAAAAAAAAAAAAAAAAAAAAAAAAAAAAAAAAAAAAAAAAAAAAAAAAAAAAAAAAFAAAADwAAAABAAAAAAAAAP+engAoAAAAAQAAAAIAAAAAAAAAAAAAAAAAAAAAAAAAZAAAAGQAAAAAAAAAZAAAAGQAAAAVAAAAYAAAAAAAAAAAAAAADwAAACADAAAAAAAAAAAAAAEAAACgMgAAVgcAAKr4//8BAAAAf39/AAEAAABkAAAAAAAAABQAAABAHwAAAAAAACYAAAAAAAAAwOD//wAAAAAmAAAAZAAAABYAAABMAAAAAQAAAAAAAAAIAAAAAAAAAAEAAAB/f38AMgAAAGQAAABkAAAAUAAAAFAAAAAAAAAAzMzMAAAAAABQAAAAUAAAAGQAAABkAAAAAAAAABcAAAAUAAAAAAAAAAAAAAAAWgAAAFoAAAAAAAAJAAAABAAAAHIAaQAeAAAAaAAAAAAAAAAAAAAAAAAAAAAAAAAAAAAAECcAABAnAAAAAAAAAAAAAAAAAAAAAAAAAAAAAAAAAAAAAAAAAAAAAMg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VAAAAAAAABA4AAAAXAAAAAAAABB5ZAADlAQAArAgAAKQPAAAAAAAAMAAAABQAAAAAAAAAAAD//wAAAQAAAP//AAABAA=="/>
            </a:ext>
          </a:extLst>
        </xdr:cNvSpPr>
      </xdr:nvSpPr>
      <xdr:spPr>
        <a:xfrm>
          <a:off x="14486890" y="307975"/>
          <a:ext cx="1409700" cy="2542540"/>
        </a:xfrm>
        <a:prstGeom prst="rect">
          <a:avLst/>
        </a:prstGeom>
        <a:solidFill>
          <a:srgbClr val="FFA4A4"/>
        </a:solidFill>
        <a:ln w="25400" cap="flat">
          <a:solidFill>
            <a:srgbClr val="FF9E9E"/>
          </a:solidFill>
          <a:prstDash val="solid"/>
          <a:headEnd type="none" w="med" len="med"/>
          <a:tailEnd type="none" w="med" len="med"/>
        </a:ln>
        <a:effectLst>
          <a:outerShdw blurRad="127000" dist="89803" dir="2700000" sx="80000" sy="80000" algn="br">
            <a:srgbClr val="7F7F7F">
              <a:alpha val="50000"/>
            </a:srgbClr>
          </a:outerShdw>
        </a:effectLst>
      </xdr:spPr>
      <xdr:txBody>
        <a:bodyPr spcFirstLastPara="1" vertOverflow="clip" horzOverflow="clip" wrap="square" anchor="t" upright="1"/>
        <a:lstStyle/>
        <a:p>
          <a:pPr algn="ctr" defTabSz="360045" rtl="0">
            <a:defRPr sz="1000"/>
          </a:pPr>
          <a:r>
            <a:rPr lang="en-us" sz="14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</a:rPr>
            <a:t>Legende</a:t>
          </a:r>
        </a:p>
        <a:p>
          <a:pPr algn="ctr" defTabSz="360045" rtl="0">
            <a:defRPr sz="1000"/>
          </a:pPr>
        </a:p>
        <a:p>
          <a:pPr algn="ctr" defTabSz="360045" rtl="0">
            <a:defRPr sz="1000"/>
          </a:pPr>
          <a:r>
            <a:rPr lang="en-us" sz="11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</a:rPr>
            <a:t>* Messung am Abend</a:t>
          </a:r>
        </a:p>
        <a:p>
          <a:pPr algn="ctr" defTabSz="360045" rtl="0">
            <a:defRPr sz="1000"/>
          </a:pPr>
        </a:p>
        <a:p>
          <a:pPr algn="ctr" defTabSz="360045" rtl="0">
            <a:defRPr sz="1000"/>
          </a:pPr>
          <a:r>
            <a:rPr lang="en-us" sz="11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</a:rPr>
            <a:t>** Hier das Jahr ändern</a:t>
          </a:r>
        </a:p>
        <a:p>
          <a:pPr algn="ctr" defTabSz="360045" rtl="0">
            <a:defRPr sz="1000"/>
          </a:pPr>
        </a:p>
        <a:p>
          <a:pPr algn="ctr" defTabSz="360045" rtl="0">
            <a:defRPr sz="1000"/>
          </a:pPr>
          <a:r>
            <a:rPr lang="en-us" sz="11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</a:rPr>
            <a:t>Die Werte sind der WHO entlehnt.</a:t>
          </a:r>
        </a:p>
        <a:p>
          <a:pPr algn="ctr" defTabSz="360045" rtl="0">
            <a:defRPr sz="1000"/>
          </a:pPr>
        </a:p>
        <a:p>
          <a:pPr algn="ctr" defTabSz="360045" rtl="0">
            <a:defRPr sz="1000"/>
          </a:pPr>
          <a:r>
            <a:rPr lang="en-us" sz="1100" b="0" i="0" u="none" strike="noStrike" kern="100" baseline="0">
              <a:solidFill>
                <a:srgbClr val="000000"/>
              </a:solidFill>
              <a:latin typeface="Bahnschrift" pitchFamily="2" charset="0"/>
              <a:ea typeface="Bahnschrift" pitchFamily="2" charset="0"/>
              <a:cs typeface="Bahnschrift" pitchFamily="2" charset="0"/>
            </a:rPr>
            <a:t>Feiertage für Hessen</a:t>
          </a:r>
        </a:p>
        <a:p>
          <a:pPr algn="ctr" defTabSz="360045" rtl="0">
            <a:defRPr sz="1000"/>
          </a:p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488950</xdr:colOff>
      <xdr:row>1</xdr:row>
      <xdr:rowOff>0</xdr:rowOff>
    </xdr:from>
    <xdr:to>
      <xdr:col>14</xdr:col>
      <xdr:colOff>704850</xdr:colOff>
      <xdr:row>16</xdr:row>
      <xdr:rowOff>0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atenauswertung" displayName="Datenauswertung" ref="O2:U14" totalsRowShown="0">
  <tableColumns count="7">
    <tableColumn id="1" name="Monat" totalsRowLabel="Total"/>
    <tableColumn id="2" name="Sys"/>
    <tableColumn id="3" name="Dia"/>
    <tableColumn id="4" name="Puls"/>
    <tableColumn id="5" name="Sys*"/>
    <tableColumn id="6" name="Dia*"/>
    <tableColumn id="7" name="Puls*" totalsRowFunction="sum"/>
  </tableColumns>
  <tableStyleInfo name="TableStyleLight7" showFirstColumn="1" showLastColumn="0" showRowStripes="1" showColumnStripes="0"/>
</table>
</file>

<file path=xl/tables/table2.xml><?xml version="1.0" encoding="utf-8"?>
<table xmlns="http://schemas.openxmlformats.org/spreadsheetml/2006/main" id="2" name="Tabelle13" displayName="Tabelle13" ref="A6:B10" totalsRowShown="0">
  <tableColumns count="2">
    <tableColumn id="1" name="Ereignisse" totalsRowLabel="Total"/>
    <tableColumn id="2" name="Ereignisse_2" totalsRowFunction="sum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elle1" displayName="Tabelle1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" totalsRowFunction="sum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elle2" displayName="Tabelle2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elle4" displayName="Tabelle4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abelle5" displayName="Tabelle5" ref="A1:G32" totalsRowCount="1">
  <tableColumns count="7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Tabelle3" displayName="Tabelle3" ref="A1:G33" totalsRowCount="1">
  <tableColumns count="7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Tabelle6" displayName="Tabelle6" ref="A1:H32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9" name="Tabelle7" displayName="Tabelle7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10" name="Tabelle8" displayName="Tabelle8" ref="A1:H33" totalsRowCount="1">
  <autoFilter ref="A1:H32"/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11" name="Tabelle9" displayName="Tabelle9" ref="A1:H32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12" name="Tabelle10" displayName="Tabelle10" ref="A1:H33" totalsRowCount="1">
  <autoFilter ref="A1:H32"/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13" name="Tabelle11" displayName="Tabelle11" ref="A1:H32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id="14" name="Tabelle12" displayName="Tabelle12" ref="A1:H33" totalsRowCount="1">
  <tableColumns count="8">
    <tableColumn id="1" name="       Werte Datum" totalsRowLabel="Ergebnis"/>
    <tableColumn id="2" name="Sys" totalsRowFunction="average"/>
    <tableColumn id="3" name="Dia" totalsRowFunction="average"/>
    <tableColumn id="4" name="Puls" totalsRowFunction="average"/>
    <tableColumn id="5" name="Sys*" totalsRowFunction="average"/>
    <tableColumn id="6" name="Dia*" totalsRowFunction="average"/>
    <tableColumn id="7" name="Puls*" totalsRowFunction="average"/>
    <tableColumn id="8" name="Ereignis2" totalsRowFunction="su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4" Type="http://schemas.openxmlformats.org/officeDocument/2006/relationships/table" Target="../tables/table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3.xml"/></Relationships>
</file>

<file path=xl/worksheets/_rels/sheet4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table" Target="../tables/table4.xml"/></Relationships>
</file>

<file path=xl/worksheets/_rels/sheet5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table" Target="../tables/table5.xml"/></Relationships>
</file>

<file path=xl/worksheets/_rels/sheet6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table" Target="../tables/table6.xml"/></Relationships>
</file>

<file path=xl/worksheets/_rels/sheet7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table" Target="../tables/table7.xml"/></Relationships>
</file>

<file path=xl/worksheets/_rels/sheet8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table" Target="../tables/table8.xml"/></Relationships>
</file>

<file path=xl/worksheets/_rels/sheet9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table" Target="../tables/table9.xml"/></Relationships>
</file>

<file path=xl/worksheets/_rels/sheet10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table" Target="../tables/table10.xml"/></Relationships>
</file>

<file path=xl/worksheets/_rels/sheet1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table" Target="../tables/table11.xml"/></Relationships>
</file>

<file path=xl/worksheets/_rels/sheet1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table" Target="../tables/table12.xml"/></Relationships>
</file>

<file path=xl/worksheets/_rels/sheet13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table" Target="../tables/table13.xml"/></Relationships>
</file>

<file path=xl/worksheets/_rels/sheet14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AA30"/>
  <sheetViews>
    <sheetView showZeros="0" view="normal" zoomScale="80" workbookViewId="0">
      <selection activeCell="P3" sqref="P3"/>
    </sheetView>
  </sheetViews>
  <sheetFormatPr baseColWidth="9" defaultColWidth="10.000000" defaultRowHeight="15.20"/>
  <cols>
    <col min="1" max="14" width="10.000000" style="3"/>
    <col min="15" max="15" width="10.936937" customWidth="1" style="3"/>
    <col min="16" max="21" width="7.432432" customWidth="1" style="3"/>
    <col min="22" max="16384" width="10.000000" style="3"/>
  </cols>
  <sheetData>
    <row r="1" spans="2:27">
      <c r="B1" s="8"/>
      <c r="C1" s="8"/>
      <c r="D1" s="8"/>
      <c r="E1" s="9" t="s">
        <v>0</v>
      </c>
      <c r="F1" s="9"/>
      <c r="G1" s="9"/>
      <c r="H1" s="45" t="n">
        <v>2025</v>
      </c>
      <c r="I1" s="47" t="s">
        <v>1</v>
      </c>
      <c r="J1" s="8"/>
      <c r="K1" s="8"/>
      <c r="L1" s="8"/>
      <c r="M1" s="8"/>
      <c r="N1" s="8"/>
      <c r="O1" s="44" t="str">
        <f>Werte!A17</f>
        <v>Mittelwerte</v>
      </c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2:27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38" t="s">
        <v>2</v>
      </c>
      <c r="P2" s="41" t="s">
        <v>3</v>
      </c>
      <c r="Q2" s="41" t="s">
        <v>4</v>
      </c>
      <c r="R2" s="41" t="s">
        <v>5</v>
      </c>
      <c r="S2" s="41" t="s">
        <v>6</v>
      </c>
      <c r="T2" s="41" t="s">
        <v>7</v>
      </c>
      <c r="U2" s="41" t="s">
        <v>8</v>
      </c>
      <c r="V2" s="8"/>
      <c r="W2" s="8"/>
      <c r="X2" s="8"/>
      <c r="Y2" s="8"/>
      <c r="Z2" s="8"/>
      <c r="AA2" s="8"/>
    </row>
    <row r="3" spans="2:27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39" t="str">
        <f>Werte!A19</f>
        <v>Januar</v>
      </c>
      <c r="P3" s="42">
        <f>Werte!B19</f>
        <v>0.478260869565217384</v>
      </c>
      <c r="Q3" s="42">
        <f>Werte!C19</f>
        <v>0.956521739130434767</v>
      </c>
      <c r="R3" s="42">
        <f>Werte!D19</f>
        <v>1.43478260869565215</v>
      </c>
      <c r="S3" s="42">
        <f>Werte!E19</f>
        <v>1.45161290322580649</v>
      </c>
      <c r="T3" s="42">
        <f>Werte!F19</f>
        <v>0</v>
      </c>
      <c r="U3" s="42">
        <f>Werte!G19</f>
        <v>0</v>
      </c>
      <c r="V3" s="8"/>
      <c r="W3" s="8"/>
      <c r="X3" s="8"/>
      <c r="Y3" s="8"/>
      <c r="Z3" s="8"/>
      <c r="AA3" s="8"/>
    </row>
    <row r="4" spans="2:27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39" t="str">
        <f>Werte!A20</f>
        <v>Februar</v>
      </c>
      <c r="P4" s="42">
        <f>Werte!B20</f>
        <v>0</v>
      </c>
      <c r="Q4" s="42">
        <f>Werte!C20</f>
        <v>0</v>
      </c>
      <c r="R4" s="42">
        <f>Werte!D20</f>
        <v>0</v>
      </c>
      <c r="S4" s="42">
        <f>Werte!E20</f>
        <v>0</v>
      </c>
      <c r="T4" s="42">
        <f>Werte!F20</f>
        <v>0</v>
      </c>
      <c r="U4" s="42">
        <f>Werte!G20</f>
        <v>0</v>
      </c>
      <c r="V4" s="8"/>
      <c r="W4" s="8"/>
      <c r="X4" s="8"/>
      <c r="Y4" s="8"/>
      <c r="Z4" s="8"/>
      <c r="AA4" s="8"/>
    </row>
    <row r="5" spans="2:27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39" t="str">
        <f>Werte!A21</f>
        <v>März</v>
      </c>
      <c r="P5" s="42">
        <f>Werte!B21</f>
        <v>0</v>
      </c>
      <c r="Q5" s="42">
        <f>Werte!C21</f>
        <v>0</v>
      </c>
      <c r="R5" s="42">
        <f>Werte!D21</f>
        <v>0</v>
      </c>
      <c r="S5" s="42">
        <f>Werte!E21</f>
        <v>0</v>
      </c>
      <c r="T5" s="42">
        <f>Werte!F21</f>
        <v>0</v>
      </c>
      <c r="U5" s="42">
        <f>Werte!G21</f>
        <v>0</v>
      </c>
      <c r="V5" s="8"/>
      <c r="W5" s="8"/>
      <c r="X5" s="8"/>
      <c r="Y5" s="8"/>
      <c r="Z5" s="8"/>
      <c r="AA5" s="8"/>
    </row>
    <row r="6" spans="2:27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39" t="str">
        <f>Werte!A22</f>
        <v>April</v>
      </c>
      <c r="P6" s="42">
        <f>Werte!B22</f>
        <v>0</v>
      </c>
      <c r="Q6" s="42">
        <f>Werte!C22</f>
        <v>0</v>
      </c>
      <c r="R6" s="42">
        <f>Werte!D22</f>
        <v>0</v>
      </c>
      <c r="S6" s="42">
        <f>Werte!E22</f>
        <v>0</v>
      </c>
      <c r="T6" s="42">
        <f>Werte!F22</f>
        <v>0</v>
      </c>
      <c r="U6" s="42">
        <f>Werte!G22</f>
        <v>0</v>
      </c>
      <c r="V6" s="8"/>
      <c r="W6" s="8"/>
      <c r="X6" s="8"/>
      <c r="Y6" s="8"/>
      <c r="Z6" s="8"/>
      <c r="AA6" s="8"/>
    </row>
    <row r="7" spans="2:27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39" t="str">
        <f>Werte!A23</f>
        <v>Mai</v>
      </c>
      <c r="P7" s="42">
        <f>Werte!B23</f>
        <v>0</v>
      </c>
      <c r="Q7" s="42">
        <f>Werte!C23</f>
        <v>0</v>
      </c>
      <c r="R7" s="42">
        <f>Werte!D23</f>
        <v>0</v>
      </c>
      <c r="S7" s="42">
        <f>Werte!E23</f>
        <v>0</v>
      </c>
      <c r="T7" s="42">
        <f>Werte!F23</f>
        <v>0</v>
      </c>
      <c r="U7" s="42">
        <f>Werte!G23</f>
        <v>0</v>
      </c>
      <c r="V7" s="8"/>
      <c r="W7" s="8"/>
      <c r="X7" s="8"/>
      <c r="Y7" s="8"/>
      <c r="Z7" s="8"/>
      <c r="AA7" s="8"/>
    </row>
    <row r="8" spans="2:27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39" t="str">
        <f>Werte!A24</f>
        <v>Juni</v>
      </c>
      <c r="P8" s="42">
        <f>Werte!B24</f>
        <v>0</v>
      </c>
      <c r="Q8" s="42">
        <f>Werte!C24</f>
        <v>0</v>
      </c>
      <c r="R8" s="42">
        <f>Werte!D24</f>
        <v>0</v>
      </c>
      <c r="S8" s="42">
        <f>Werte!E24</f>
        <v>0</v>
      </c>
      <c r="T8" s="42">
        <f>Werte!F24</f>
        <v>0</v>
      </c>
      <c r="U8" s="42">
        <f>Werte!G24</f>
        <v>0</v>
      </c>
      <c r="V8" s="8"/>
      <c r="W8" s="8"/>
      <c r="X8" s="8"/>
      <c r="Y8" s="8"/>
      <c r="Z8" s="8"/>
      <c r="AA8" s="8"/>
    </row>
    <row r="9" spans="2:27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39" t="str">
        <f>Werte!A25</f>
        <v>Juli</v>
      </c>
      <c r="P9" s="42">
        <f>Werte!B25</f>
        <v>0</v>
      </c>
      <c r="Q9" s="42">
        <f>Werte!C25</f>
        <v>0</v>
      </c>
      <c r="R9" s="42">
        <f>Werte!D25</f>
        <v>0</v>
      </c>
      <c r="S9" s="42">
        <f>Werte!E25</f>
        <v>0</v>
      </c>
      <c r="T9" s="42">
        <f>Werte!F25</f>
        <v>0</v>
      </c>
      <c r="U9" s="42">
        <f>Werte!G25</f>
        <v>0</v>
      </c>
      <c r="V9" s="8"/>
      <c r="W9" s="8"/>
      <c r="X9" s="8"/>
      <c r="Y9" s="8"/>
      <c r="Z9" s="8"/>
      <c r="AA9" s="8"/>
    </row>
    <row r="10" spans="2:27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39" t="str">
        <f>Werte!A26</f>
        <v>August</v>
      </c>
      <c r="P10" s="42">
        <f>Werte!B26</f>
        <v>0</v>
      </c>
      <c r="Q10" s="42">
        <f>Werte!C26</f>
        <v>0</v>
      </c>
      <c r="R10" s="42">
        <f>Werte!D26</f>
        <v>0</v>
      </c>
      <c r="S10" s="42">
        <f>Werte!E26</f>
        <v>0</v>
      </c>
      <c r="T10" s="42">
        <f>Werte!F26</f>
        <v>0</v>
      </c>
      <c r="U10" s="42">
        <f>Werte!G26</f>
        <v>0</v>
      </c>
      <c r="V10" s="8"/>
      <c r="W10" s="8"/>
      <c r="X10" s="8"/>
      <c r="Y10" s="8"/>
      <c r="Z10" s="8"/>
      <c r="AA10" s="8"/>
    </row>
    <row r="11" spans="2:27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39" t="str">
        <f>Werte!A27</f>
        <v>September</v>
      </c>
      <c r="P11" s="42">
        <f>Werte!B27</f>
        <v>0</v>
      </c>
      <c r="Q11" s="42">
        <f>Werte!C27</f>
        <v>0</v>
      </c>
      <c r="R11" s="42">
        <f>Werte!D27</f>
        <v>0</v>
      </c>
      <c r="S11" s="42">
        <f>Werte!E27</f>
        <v>0</v>
      </c>
      <c r="T11" s="42">
        <f>Werte!F27</f>
        <v>0</v>
      </c>
      <c r="U11" s="42">
        <f>Werte!G27</f>
        <v>0</v>
      </c>
      <c r="V11" s="8"/>
      <c r="W11" s="8"/>
      <c r="X11" s="8"/>
      <c r="Y11" s="8"/>
      <c r="Z11" s="8"/>
      <c r="AA11" s="8"/>
    </row>
    <row r="12" spans="2:27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39" t="str">
        <f>Werte!A28</f>
        <v>Oktober</v>
      </c>
      <c r="P12" s="42">
        <f>Werte!B28</f>
        <v>0</v>
      </c>
      <c r="Q12" s="42">
        <f>Werte!C28</f>
        <v>0</v>
      </c>
      <c r="R12" s="42">
        <f>Werte!D28</f>
        <v>0</v>
      </c>
      <c r="S12" s="42">
        <f>Werte!E28</f>
        <v>0</v>
      </c>
      <c r="T12" s="42">
        <f>Werte!F28</f>
        <v>0</v>
      </c>
      <c r="U12" s="42">
        <f>Werte!G28</f>
        <v>0</v>
      </c>
      <c r="V12" s="8"/>
      <c r="W12" s="8"/>
      <c r="X12" s="8"/>
      <c r="Y12" s="8"/>
      <c r="Z12" s="8"/>
      <c r="AA12" s="8"/>
    </row>
    <row r="13" spans="2:27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9" t="str">
        <f>Werte!A29</f>
        <v>November</v>
      </c>
      <c r="P13" s="42">
        <f>Werte!B29</f>
        <v>0</v>
      </c>
      <c r="Q13" s="42">
        <f>Werte!C29</f>
        <v>0</v>
      </c>
      <c r="R13" s="42">
        <f>Werte!D29</f>
        <v>0</v>
      </c>
      <c r="S13" s="42">
        <f>Werte!E29</f>
        <v>0</v>
      </c>
      <c r="T13" s="42">
        <f>Werte!F29</f>
        <v>0</v>
      </c>
      <c r="U13" s="42">
        <f>Werte!G29</f>
        <v>0</v>
      </c>
      <c r="V13" s="8"/>
      <c r="W13" s="8"/>
      <c r="X13" s="8"/>
      <c r="Y13" s="8"/>
      <c r="Z13" s="8"/>
      <c r="AA13" s="8"/>
    </row>
    <row r="14" spans="2:27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40" t="str">
        <f>Werte!A30</f>
        <v>Dezember</v>
      </c>
      <c r="P14" s="43">
        <f>Werte!B30</f>
        <v>0</v>
      </c>
      <c r="Q14" s="43">
        <f>Werte!C30</f>
        <v>0</v>
      </c>
      <c r="R14" s="43">
        <f>Werte!D30</f>
        <v>0</v>
      </c>
      <c r="S14" s="43">
        <f>Werte!E30</f>
        <v>0</v>
      </c>
      <c r="T14" s="43">
        <f>Werte!F30</f>
        <v>0</v>
      </c>
      <c r="U14" s="43">
        <f>Werte!G30</f>
        <v>0</v>
      </c>
      <c r="V14" s="8"/>
      <c r="W14" s="8"/>
      <c r="X14" s="8"/>
      <c r="Y14" s="8"/>
      <c r="Z14" s="8"/>
      <c r="AA14" s="8"/>
    </row>
    <row r="15" spans="2:27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2:27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2:27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2:27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2:27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2:27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2:27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2:27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2:27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2:27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2:27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2:27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2:27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2:27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2:27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2:27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</sheetData>
  <sheetProtection sheet="1" autoFilter="0"/>
  <mergeCells count="1">
    <mergeCell ref="E1:G1"/>
  </mergeCells>
  <conditionalFormatting sqref="O2:U14">
    <cfRule type="expression" dxfId="0" priority="1">
      <formula>ISEVEN(ROW())</formula>
    </cfRule>
  </conditionalFormatting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legacyDrawing r:id="rId3"/>
  <tableParts count="1">
    <tablePart r:id="rId4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Q30"/>
  <sheetViews>
    <sheetView showZeros="0" view="normal" workbookViewId="0">
      <selection activeCell="E8" sqref="E8"/>
    </sheetView>
  </sheetViews>
  <sheetFormatPr baseColWidth="9" defaultColWidth="10.000000" defaultRowHeight="15.20"/>
  <cols>
    <col min="1" max="1" width="10.936937" customWidth="1" style="3"/>
    <col min="2" max="2" width="4.009009" customWidth="1" style="3"/>
    <col min="3" max="3" width="3.657658" customWidth="1" style="3"/>
    <col min="4" max="4" width="4.747748" customWidth="1" style="3"/>
    <col min="5" max="5" width="4.864865" customWidth="1" style="3"/>
    <col min="6" max="6" width="4.513514" customWidth="1" style="3"/>
    <col min="7" max="7" width="5.603604" customWidth="1" style="3"/>
    <col min="8" max="8" width="10.000000" style="3"/>
    <col min="9" max="9" width="23.747748" customWidth="1" style="3"/>
    <col min="10" max="10" width="10.117117" customWidth="1" style="3"/>
    <col min="11" max="11" width="11.117117" customWidth="1" style="3"/>
    <col min="12" max="12" width="16.432432" customWidth="1" style="3"/>
    <col min="13" max="13" width="7.513514" customWidth="1" style="3"/>
    <col min="14" max="14" width="10.261261" customWidth="1" style="3"/>
    <col min="15" max="15" width="10.135135" customWidth="1" style="3"/>
    <col min="16" max="16" width="10.297297" customWidth="1" style="3"/>
    <col min="17" max="17" width="10.207207" customWidth="1" style="3"/>
    <col min="18" max="16384" width="10.000000" style="3"/>
  </cols>
  <sheetData>
    <row r="1" spans="1:17">
      <c r="A1" s="3" t="s">
        <v>9</v>
      </c>
      <c r="H1" s="37" t="s">
        <v>10</v>
      </c>
      <c r="J1"/>
      <c r="K1" s="22" t="s">
        <v>11</v>
      </c>
      <c r="L1" t="s">
        <v>12</v>
      </c>
      <c r="M1"/>
      <c r="N1"/>
      <c r="O1"/>
      <c r="P1"/>
      <c r="Q1"/>
    </row>
    <row r="2" spans="1:17">
      <c r="A2" s="4" t="s">
        <v>13</v>
      </c>
      <c r="B2" s="5" t="n">
        <v>120</v>
      </c>
      <c r="C2" s="5" t="n">
        <v>128</v>
      </c>
      <c r="D2" s="6" t="n">
        <v>129</v>
      </c>
      <c r="E2" s="6" t="n">
        <v>159</v>
      </c>
      <c r="F2" s="7" t="n">
        <v>160</v>
      </c>
      <c r="G2" s="7" t="n">
        <v>180</v>
      </c>
      <c r="H2" s="4" t="n">
        <v>80</v>
      </c>
      <c r="I2" s="3" t="s">
        <v>14</v>
      </c>
      <c r="J2" s="25">
        <f>WEEKDAY(K2)</f>
        <v>4</v>
      </c>
      <c r="K2" s="23">
        <f>DATE(Dashboard!$H$1,1,1)</f>
        <v>45658</v>
      </c>
      <c r="L2" s="24" t="e">
        <f>7*ROUND((4&amp;-Dashboard!$H$1)/7+MOD(19*MOD(Dashboard!$H$1,19)-7,30)*0.14,)-6</f>
        <v>#VALUE!</v>
      </c>
      <c r="M2" s="25" t="e">
        <f>WEEKDAY(L2)</f>
        <v>#VALUE!</v>
      </c>
      <c r="N2"/>
      <c r="O2"/>
      <c r="P2"/>
      <c r="Q2"/>
    </row>
    <row r="3" spans="1:17">
      <c r="A3" s="4" t="s">
        <v>15</v>
      </c>
      <c r="B3" s="5" t="n">
        <v>80</v>
      </c>
      <c r="C3" s="5" t="n">
        <v>84</v>
      </c>
      <c r="D3" s="6" t="n">
        <v>85</v>
      </c>
      <c r="E3" s="6" t="n">
        <v>99</v>
      </c>
      <c r="F3" s="7" t="n">
        <v>100</v>
      </c>
      <c r="G3" s="7" t="n">
        <v>110</v>
      </c>
      <c r="H3" s="4" t="n">
        <v>60</v>
      </c>
      <c r="I3" s="3" t="s">
        <v>16</v>
      </c>
      <c r="J3" s="25">
        <f>WEEKDAY(K3)</f>
        <v>2</v>
      </c>
      <c r="K3" s="23">
        <f>DATE(Dashboard!$H$1,1,6)</f>
        <v>45663</v>
      </c>
      <c r="L3"/>
      <c r="M3"/>
      <c r="N3"/>
      <c r="O3"/>
      <c r="P3"/>
      <c r="Q3"/>
    </row>
    <row r="4" spans="1:17">
      <c r="A4" s="4" t="s">
        <v>5</v>
      </c>
      <c r="B4" s="3" t="n">
        <v>85</v>
      </c>
      <c r="I4" s="3" t="s">
        <v>17</v>
      </c>
      <c r="J4" s="25" t="e">
        <f>WEEKDAY(K4)</f>
        <v>#VALUE!</v>
      </c>
      <c r="K4" s="23" t="e">
        <f>7*ROUND((4&amp;-Dashboard!$H$1)/7+MOD(19*MOD(Dashboard!$H$1,19)-7,30)*0.14,)-6-2</f>
        <v>#VALUE!</v>
      </c>
      <c r="L4"/>
      <c r="M4"/>
      <c r="N4"/>
      <c r="O4"/>
      <c r="P4"/>
      <c r="Q4"/>
    </row>
    <row r="5" spans="9:17">
      <c r="I5" s="3" t="s">
        <v>18</v>
      </c>
      <c r="J5" s="25" t="e">
        <f>WEEKDAY(K5)</f>
        <v>#VALUE!</v>
      </c>
      <c r="K5" s="23" t="e">
        <f>7*ROUND((4&amp;-Dashboard!$H$1)/7+MOD(19*MOD(Dashboard!$H$1,19)-7,30)*0.14,)-6+1</f>
        <v>#VALUE!</v>
      </c>
      <c r="L5"/>
      <c r="M5"/>
      <c r="N5"/>
      <c r="O5"/>
      <c r="P5"/>
      <c r="Q5"/>
    </row>
    <row r="6" spans="1:17">
      <c r="A6" s="30" t="s">
        <v>19</v>
      </c>
      <c r="B6" s="30" t="s">
        <v>20</v>
      </c>
      <c r="I6" s="3" t="s">
        <v>21</v>
      </c>
      <c r="J6" s="25">
        <f>WEEKDAY(K6)</f>
        <v>5</v>
      </c>
      <c r="K6" s="23">
        <f>DATE(Dashboard!$H$1,5,1)</f>
        <v>45778</v>
      </c>
      <c r="L6"/>
      <c r="M6"/>
      <c r="N6"/>
      <c r="O6"/>
      <c r="P6"/>
      <c r="Q6"/>
    </row>
    <row r="7" spans="9:17">
      <c r="I7" s="3" t="s">
        <v>22</v>
      </c>
      <c r="J7" s="25" t="e">
        <f>WEEKDAY(K7)</f>
        <v>#VALUE!</v>
      </c>
      <c r="K7" s="23" t="e">
        <f>7*ROUND((4&amp;-Dashboard!$H$1)/7+MOD(19*MOD(Dashboard!$H$1,19)-7,30)*0.14,)-6+39</f>
        <v>#VALUE!</v>
      </c>
      <c r="L7"/>
      <c r="M7"/>
      <c r="N7"/>
      <c r="O7"/>
      <c r="P7"/>
      <c r="Q7"/>
    </row>
    <row r="8" spans="1:17">
      <c r="A8" s="3" t="s">
        <v>23</v>
      </c>
      <c r="B8" s="3" t="s">
        <v>24</v>
      </c>
      <c r="I8" s="3" t="s">
        <v>25</v>
      </c>
      <c r="J8" s="25" t="e">
        <f>WEEKDAY(K8)</f>
        <v>#VALUE!</v>
      </c>
      <c r="K8" s="23" t="e">
        <f>7*ROUND((4&amp;-Dashboard!$H$1)/7+MOD(19*MOD(Dashboard!$H$1,19)-7,30)*0.14,)-6+50</f>
        <v>#VALUE!</v>
      </c>
      <c r="L8"/>
      <c r="M8"/>
      <c r="N8"/>
      <c r="O8"/>
      <c r="P8"/>
      <c r="Q8"/>
    </row>
    <row r="9" spans="1:17">
      <c r="A9" s="3" t="s">
        <v>26</v>
      </c>
      <c r="B9" s="3" t="s">
        <v>27</v>
      </c>
      <c r="I9" s="3" t="s">
        <v>28</v>
      </c>
      <c r="J9" s="25" t="e">
        <f>WEEKDAY(K9)</f>
        <v>#VALUE!</v>
      </c>
      <c r="K9" s="23" t="e">
        <f>7*ROUND((4&amp;-Dashboard!$H$1)/7+MOD(19*MOD(Dashboard!$H$1,19)-7,30)*0.14,)-6+60</f>
        <v>#VALUE!</v>
      </c>
      <c r="L9"/>
      <c r="M9"/>
      <c r="N9"/>
      <c r="O9"/>
      <c r="P9"/>
      <c r="Q9"/>
    </row>
    <row r="10" spans="1:17">
      <c r="A10" s="3" t="s">
        <v>29</v>
      </c>
      <c r="B10" s="3" t="s">
        <v>30</v>
      </c>
      <c r="I10" s="3" t="s">
        <v>31</v>
      </c>
      <c r="J10" s="25">
        <f>WEEKDAY(K10)</f>
        <v>6</v>
      </c>
      <c r="K10" s="23">
        <f>DATE(Dashboard!$H$1,10,3)</f>
        <v>45933</v>
      </c>
      <c r="L10"/>
      <c r="M10"/>
      <c r="N10"/>
      <c r="O10"/>
      <c r="P10"/>
      <c r="Q10"/>
    </row>
    <row r="11" spans="9:17">
      <c r="I11" s="3" t="s">
        <v>32</v>
      </c>
      <c r="J11" s="25">
        <f>WEEKDAY(K11)</f>
        <v>7</v>
      </c>
      <c r="K11" s="23">
        <f>DATE(Dashboard!$H$1,11,1)</f>
        <v>45962</v>
      </c>
      <c r="L11"/>
      <c r="M11"/>
      <c r="N11"/>
      <c r="O11"/>
      <c r="P11"/>
      <c r="Q11"/>
    </row>
    <row r="12" spans="9:17">
      <c r="I12" s="3" t="s">
        <v>33</v>
      </c>
      <c r="J12" s="25">
        <f>WEEKDAY(K12)</f>
        <v>5</v>
      </c>
      <c r="K12" s="23">
        <f>DATE(Dashboard!$H$1,12,25)</f>
        <v>46016</v>
      </c>
      <c r="L12"/>
      <c r="M12"/>
      <c r="N12"/>
      <c r="O12"/>
      <c r="P12"/>
      <c r="Q12"/>
    </row>
    <row r="13" spans="9:17">
      <c r="I13" s="3" t="s">
        <v>34</v>
      </c>
      <c r="J13" s="25">
        <f>WEEKDAY(K13)</f>
        <v>6</v>
      </c>
      <c r="K13" s="23">
        <f>DATE(Dashboard!$H$1,12,26)</f>
        <v>46017</v>
      </c>
      <c r="L13"/>
      <c r="M13"/>
      <c r="N13"/>
      <c r="O13"/>
      <c r="P13"/>
      <c r="Q13"/>
    </row>
    <row r="17" spans="1:7">
      <c r="A17" s="4" t="s">
        <v>35</v>
      </c>
      <c r="B17" s="4"/>
      <c r="C17" s="4"/>
      <c r="D17" s="4"/>
      <c r="E17" s="4"/>
      <c r="F17" s="4"/>
      <c r="G17" s="4"/>
    </row>
    <row r="18" spans="1:7">
      <c r="A18" s="4" t="s">
        <v>2</v>
      </c>
      <c r="B18" s="4" t="s">
        <v>13</v>
      </c>
      <c r="C18" s="4" t="s">
        <v>15</v>
      </c>
      <c r="D18" s="4" t="s">
        <v>5</v>
      </c>
      <c r="E18" s="4" t="s">
        <v>6</v>
      </c>
      <c r="F18" s="4" t="s">
        <v>7</v>
      </c>
      <c r="G18" s="4" t="s">
        <v>8</v>
      </c>
    </row>
    <row r="19" spans="1:7">
      <c r="A19" s="4" t="s">
        <v>36</v>
      </c>
      <c r="B19" s="15">
        <f>Januar!B33</f>
        <v>0.478260869565217384</v>
      </c>
      <c r="C19" s="15">
        <f>Januar!C33</f>
        <v>0.956521739130434767</v>
      </c>
      <c r="D19" s="15">
        <f>Januar!D33</f>
        <v>1.43478260869565215</v>
      </c>
      <c r="E19" s="15">
        <f>Januar!E33</f>
        <v>1.45161290322580649</v>
      </c>
      <c r="F19" s="15">
        <f>Januar!F33</f>
        <v>0</v>
      </c>
      <c r="G19" s="15">
        <f>Januar!G33</f>
        <v>0</v>
      </c>
    </row>
    <row r="20" spans="1:7">
      <c r="A20" s="4" t="s">
        <v>37</v>
      </c>
      <c r="B20" s="35">
        <f>Februar!B33</f>
        <v>0</v>
      </c>
      <c r="C20" s="35">
        <f>Februar!C33</f>
        <v>0</v>
      </c>
      <c r="D20" s="35">
        <f>Februar!D33</f>
        <v>0</v>
      </c>
      <c r="E20" s="35">
        <f>Februar!E33</f>
        <v>0</v>
      </c>
      <c r="F20" s="35">
        <f>Februar!F33</f>
        <v>0</v>
      </c>
      <c r="G20" s="35">
        <f>Februar!G33</f>
        <v>0</v>
      </c>
    </row>
    <row r="21" spans="1:7">
      <c r="A21" s="4" t="s">
        <v>38</v>
      </c>
      <c r="B21" s="46">
        <f>März!B33</f>
        <v>0</v>
      </c>
      <c r="C21" s="46">
        <f>März!C33</f>
        <v>0</v>
      </c>
      <c r="D21" s="46">
        <f>März!D33</f>
        <v>0</v>
      </c>
      <c r="E21" s="46">
        <f>März!E33</f>
        <v>0</v>
      </c>
      <c r="F21" s="46">
        <f>März!F33</f>
        <v>0</v>
      </c>
      <c r="G21" s="46">
        <f>März!G33</f>
        <v>0</v>
      </c>
    </row>
    <row r="22" spans="1:7">
      <c r="A22" s="4" t="s">
        <v>39</v>
      </c>
      <c r="B22" s="15">
        <f>April!B32</f>
        <v>0</v>
      </c>
      <c r="C22" s="15">
        <f>April!C32</f>
        <v>0</v>
      </c>
      <c r="D22" s="15">
        <f>April!D32</f>
        <v>0</v>
      </c>
      <c r="E22" s="15">
        <f>April!E32</f>
        <v>0</v>
      </c>
      <c r="F22" s="15">
        <f>April!F32</f>
        <v>0</v>
      </c>
      <c r="G22" s="15">
        <f>April!G32</f>
        <v>0</v>
      </c>
    </row>
    <row r="23" spans="1:7">
      <c r="A23" s="4" t="s">
        <v>40</v>
      </c>
      <c r="B23" s="15">
        <f>Mai!B33</f>
        <v>0</v>
      </c>
      <c r="C23" s="15">
        <f>Mai!C33</f>
        <v>0</v>
      </c>
      <c r="D23" s="15">
        <f>Mai!D33</f>
        <v>0</v>
      </c>
      <c r="E23" s="15">
        <f>Mai!E33</f>
        <v>0</v>
      </c>
      <c r="F23" s="15">
        <f>Mai!F33</f>
        <v>0</v>
      </c>
      <c r="G23" s="15">
        <f>Mai!G33</f>
        <v>0</v>
      </c>
    </row>
    <row r="24" spans="1:7">
      <c r="A24" s="4" t="s">
        <v>41</v>
      </c>
      <c r="B24" s="21">
        <f>Juni!B32</f>
        <v>0</v>
      </c>
      <c r="C24" s="21">
        <f>Juni!C32</f>
        <v>0</v>
      </c>
      <c r="D24" s="21">
        <f>Juni!D32</f>
        <v>0</v>
      </c>
      <c r="E24" s="21">
        <f>Juni!E32</f>
        <v>0</v>
      </c>
      <c r="F24" s="21">
        <f>Juni!F32</f>
        <v>0</v>
      </c>
      <c r="G24" s="21">
        <f>Juni!G32</f>
        <v>0</v>
      </c>
    </row>
    <row r="25" spans="1:7">
      <c r="A25" s="4" t="s">
        <v>42</v>
      </c>
      <c r="B25" s="46">
        <f>Juli!B33</f>
        <v>0</v>
      </c>
      <c r="C25" s="46">
        <f>Juli!C33</f>
        <v>0</v>
      </c>
      <c r="D25" s="46">
        <f>Juli!D33</f>
        <v>0</v>
      </c>
      <c r="E25" s="46">
        <f>Juli!E33</f>
        <v>0</v>
      </c>
      <c r="F25" s="46">
        <f>Juli!F33</f>
        <v>0</v>
      </c>
      <c r="G25" s="46">
        <f>Juli!G33</f>
        <v>0</v>
      </c>
    </row>
    <row r="26" spans="1:7">
      <c r="A26" s="4" t="s">
        <v>43</v>
      </c>
      <c r="B26" s="35">
        <f>August!B33</f>
        <v>0</v>
      </c>
      <c r="C26" s="35">
        <f>August!C33</f>
        <v>0</v>
      </c>
      <c r="D26" s="35">
        <f>August!D33</f>
        <v>0</v>
      </c>
      <c r="E26" s="35">
        <f>August!E33</f>
        <v>0</v>
      </c>
      <c r="F26" s="35">
        <f>August!F33</f>
        <v>0</v>
      </c>
      <c r="G26" s="35">
        <f>August!G33</f>
        <v>0</v>
      </c>
    </row>
    <row r="27" spans="1:7">
      <c r="A27" s="4" t="s">
        <v>44</v>
      </c>
      <c r="B27" s="35">
        <f>September!B32</f>
        <v>0</v>
      </c>
      <c r="C27" s="35">
        <f>September!C32</f>
        <v>0</v>
      </c>
      <c r="D27" s="35">
        <f>September!D32</f>
        <v>0</v>
      </c>
      <c r="E27" s="35">
        <f>September!E32</f>
        <v>0</v>
      </c>
      <c r="F27" s="35">
        <f>September!F32</f>
        <v>0</v>
      </c>
      <c r="G27" s="35">
        <f>September!G32</f>
        <v>0</v>
      </c>
    </row>
    <row r="28" spans="1:7">
      <c r="A28" s="4" t="s">
        <v>45</v>
      </c>
      <c r="B28" s="35">
        <f>Oktober!B33</f>
        <v>0</v>
      </c>
      <c r="C28" s="35">
        <f>Oktober!C33</f>
        <v>0</v>
      </c>
      <c r="D28" s="35">
        <f>Oktober!D33</f>
        <v>0</v>
      </c>
      <c r="E28" s="35">
        <f>Oktober!E33</f>
        <v>0</v>
      </c>
      <c r="F28" s="35">
        <f>Oktober!F33</f>
        <v>0</v>
      </c>
      <c r="G28" s="35">
        <f>Oktober!G33</f>
        <v>0</v>
      </c>
    </row>
    <row r="29" spans="1:7">
      <c r="A29" s="4" t="s">
        <v>46</v>
      </c>
      <c r="B29" s="35">
        <f>November!B32</f>
        <v>0</v>
      </c>
      <c r="C29" s="35">
        <f>November!C32</f>
        <v>0</v>
      </c>
      <c r="D29" s="35">
        <f>November!D32</f>
        <v>0</v>
      </c>
      <c r="E29" s="35">
        <f>November!E32</f>
        <v>0</v>
      </c>
      <c r="F29" s="35">
        <f>November!F32</f>
        <v>0</v>
      </c>
      <c r="G29" s="35">
        <f>November!G32</f>
        <v>0</v>
      </c>
    </row>
    <row r="30" spans="1:7">
      <c r="A30" s="4" t="s">
        <v>47</v>
      </c>
      <c r="B30" s="36">
        <f>Dezember!B33</f>
        <v>0</v>
      </c>
      <c r="C30" s="36">
        <f>Dezember!C33</f>
        <v>0</v>
      </c>
      <c r="D30" s="36">
        <f>Dezember!D33</f>
        <v>0</v>
      </c>
      <c r="E30" s="36">
        <f>Dezember!E33</f>
        <v>0</v>
      </c>
      <c r="F30" s="36">
        <f>Dezember!F33</f>
        <v>0</v>
      </c>
      <c r="G30" s="36">
        <f>Dezember!G33</f>
        <v>0</v>
      </c>
    </row>
  </sheetData>
  <sheetProtection sheet="1" autoFilter="0"/>
  <conditionalFormatting sqref="B25 E25">
    <cfRule type="cellIs" dxfId="1" priority="1" operator="between">
      <formula>Werte!$D$2</formula>
      <formula>Werte!$E$2</formula>
    </cfRule>
  </conditionalFormatting>
  <conditionalFormatting sqref="B25 E25">
    <cfRule type="cellIs" dxfId="2" priority="2" operator="between">
      <formula>Werte!$F$2</formula>
      <formula>Werte!$G$2</formula>
    </cfRule>
  </conditionalFormatting>
  <conditionalFormatting sqref="D25 G25">
    <cfRule type="cellIs" dxfId="3" priority="3" operator="greaterThanOrEqual">
      <formula>Werte!$B$4</formula>
    </cfRule>
  </conditionalFormatting>
  <conditionalFormatting sqref="C25 F25">
    <cfRule type="cellIs" dxfId="4" priority="4" operator="between">
      <formula>Werte!$B$3</formula>
      <formula>Werte!$C$3</formula>
    </cfRule>
  </conditionalFormatting>
  <conditionalFormatting sqref="C25 F25">
    <cfRule type="cellIs" dxfId="5" priority="5" operator="between">
      <formula>Werte!$D$3</formula>
      <formula>Werte!$E$3</formula>
    </cfRule>
  </conditionalFormatting>
  <conditionalFormatting sqref="C25 F25">
    <cfRule type="cellIs" dxfId="6" priority="6" operator="between">
      <formula>Werte!$F$3</formula>
      <formula>Werte!$G$3</formula>
    </cfRule>
  </conditionalFormatting>
  <conditionalFormatting sqref="B25 E25">
    <cfRule type="cellIs" dxfId="7" priority="7" operator="between">
      <formula>Werte!$B$2</formula>
      <formula>Werte!$C$2</formula>
    </cfRule>
  </conditionalFormatting>
  <conditionalFormatting sqref="B24 E24">
    <cfRule type="cellIs" dxfId="8" priority="8" operator="between">
      <formula>Werte!$D$2</formula>
      <formula>Werte!$E$2</formula>
    </cfRule>
  </conditionalFormatting>
  <conditionalFormatting sqref="B24 E24">
    <cfRule type="cellIs" dxfId="9" priority="9" operator="between">
      <formula>Werte!$F$2</formula>
      <formula>Werte!$G$2</formula>
    </cfRule>
  </conditionalFormatting>
  <conditionalFormatting sqref="D24 G24">
    <cfRule type="cellIs" dxfId="10" priority="10" operator="greaterThanOrEqual">
      <formula>Werte!$B$4</formula>
    </cfRule>
  </conditionalFormatting>
  <conditionalFormatting sqref="C24 F24">
    <cfRule type="cellIs" dxfId="11" priority="11" operator="between">
      <formula>Werte!$B$3</formula>
      <formula>Werte!$C$3</formula>
    </cfRule>
  </conditionalFormatting>
  <conditionalFormatting sqref="C24 F24">
    <cfRule type="cellIs" dxfId="12" priority="12" operator="between">
      <formula>Werte!$D$3</formula>
      <formula>Werte!$E$3</formula>
    </cfRule>
  </conditionalFormatting>
  <conditionalFormatting sqref="C24 F24">
    <cfRule type="cellIs" dxfId="13" priority="13" operator="between">
      <formula>Werte!$F$3</formula>
      <formula>Werte!$G$3</formula>
    </cfRule>
  </conditionalFormatting>
  <conditionalFormatting sqref="B24 E24">
    <cfRule type="cellIs" dxfId="14" priority="14" operator="between">
      <formula>Werte!$B$2</formula>
      <formula>Werte!$C$2</formula>
    </cfRule>
  </conditionalFormatting>
  <conditionalFormatting sqref="B23 E23">
    <cfRule type="cellIs" dxfId="15" priority="15" operator="between">
      <formula>Werte!$D$2</formula>
      <formula>Werte!$E$2</formula>
    </cfRule>
  </conditionalFormatting>
  <conditionalFormatting sqref="B23 E23">
    <cfRule type="cellIs" dxfId="16" priority="16" operator="between">
      <formula>Werte!$F$2</formula>
      <formula>Werte!$G$2</formula>
    </cfRule>
  </conditionalFormatting>
  <conditionalFormatting sqref="D23 G23">
    <cfRule type="cellIs" dxfId="17" priority="17" operator="greaterThanOrEqual">
      <formula>Werte!$B$4</formula>
    </cfRule>
  </conditionalFormatting>
  <conditionalFormatting sqref="C23 F23">
    <cfRule type="cellIs" dxfId="18" priority="18" operator="between">
      <formula>Werte!$B$3</formula>
      <formula>Werte!$C$3</formula>
    </cfRule>
  </conditionalFormatting>
  <conditionalFormatting sqref="C23 F23">
    <cfRule type="cellIs" dxfId="19" priority="19" operator="between">
      <formula>Werte!$D$3</formula>
      <formula>Werte!$E$3</formula>
    </cfRule>
  </conditionalFormatting>
  <conditionalFormatting sqref="C23 F23">
    <cfRule type="cellIs" dxfId="20" priority="20" operator="between">
      <formula>Werte!$F$3</formula>
      <formula>Werte!$G$3</formula>
    </cfRule>
  </conditionalFormatting>
  <conditionalFormatting sqref="B23 E23">
    <cfRule type="cellIs" dxfId="21" priority="21" operator="between">
      <formula>Werte!$B$2</formula>
      <formula>Werte!$C$2</formula>
    </cfRule>
  </conditionalFormatting>
  <conditionalFormatting sqref="C22 F22">
    <cfRule type="cellIs" dxfId="22" priority="22" operator="between">
      <formula>Werte!$D$3</formula>
      <formula>Werte!$E$3</formula>
    </cfRule>
  </conditionalFormatting>
  <conditionalFormatting sqref="C22 F22">
    <cfRule type="cellIs" dxfId="23" priority="23" operator="between">
      <formula>Werte!$B$3</formula>
      <formula>Werte!$C$3</formula>
    </cfRule>
  </conditionalFormatting>
  <conditionalFormatting sqref="D22 G22">
    <cfRule type="cellIs" dxfId="24" priority="24" operator="greaterThanOrEqual">
      <formula>Werte!$B$4</formula>
    </cfRule>
  </conditionalFormatting>
  <conditionalFormatting sqref="B22 E22">
    <cfRule type="cellIs" dxfId="25" priority="25" operator="between">
      <formula>Werte!$F$2</formula>
      <formula>Werte!$G$2</formula>
    </cfRule>
  </conditionalFormatting>
  <conditionalFormatting sqref="B22 E22">
    <cfRule type="cellIs" dxfId="26" priority="26" operator="between">
      <formula>Werte!$D$2</formula>
      <formula>Werte!$E$2</formula>
    </cfRule>
  </conditionalFormatting>
  <conditionalFormatting sqref="B22 E22">
    <cfRule type="cellIs" dxfId="27" priority="27" operator="between">
      <formula>Werte!$B$2</formula>
      <formula>Werte!$C$2</formula>
    </cfRule>
  </conditionalFormatting>
  <conditionalFormatting sqref="C22 F22">
    <cfRule type="cellIs" dxfId="28" priority="28" operator="between">
      <formula>Werte!$F$3</formula>
      <formula>Werte!$G$3</formula>
    </cfRule>
  </conditionalFormatting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tableParts count="1">
    <tablePart r:id="rId1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3"/>
  <sheetViews>
    <sheetView showZeros="0" tabSelected="1" view="normal" workbookViewId="0">
      <selection activeCell="H10" sqref="H10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49</v>
      </c>
      <c r="C1" s="11" t="s">
        <v>50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51</v>
      </c>
    </row>
    <row r="2" spans="1:8">
      <c r="A2" s="12">
        <f>DATE(Dashboard!$H$1,1,1)</f>
        <v>45658</v>
      </c>
      <c r="B2" s="18" t="n">
        <v>11</v>
      </c>
      <c r="C2" s="18" t="n">
        <v>22</v>
      </c>
      <c r="D2" s="18" t="n">
        <v>33</v>
      </c>
      <c r="E2" s="18" t="n">
        <v>45</v>
      </c>
      <c r="F2" s="18" t="n">
        <v>0</v>
      </c>
      <c r="G2" s="18" t="n">
        <v>0</v>
      </c>
      <c r="H2" s="16"/>
    </row>
    <row r="3" spans="1:8">
      <c r="A3" s="12">
        <f>A2+1</f>
        <v>45659</v>
      </c>
      <c r="B3" s="18"/>
      <c r="C3" s="18"/>
      <c r="D3" s="18"/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45660</v>
      </c>
      <c r="B4" s="18"/>
      <c r="C4" s="18"/>
      <c r="D4" s="18"/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45661</v>
      </c>
      <c r="B5" s="18"/>
      <c r="C5" s="18"/>
      <c r="D5" s="18"/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45662</v>
      </c>
      <c r="B6" s="18"/>
      <c r="C6" s="18"/>
      <c r="D6" s="18"/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45663</v>
      </c>
      <c r="B7" s="18"/>
      <c r="C7" s="18"/>
      <c r="D7" s="18"/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45664</v>
      </c>
      <c r="B8" s="18"/>
      <c r="C8" s="18"/>
      <c r="D8" s="18"/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45665</v>
      </c>
      <c r="B9" s="18"/>
      <c r="C9" s="18"/>
      <c r="D9" s="18"/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45666</v>
      </c>
      <c r="B10" s="18"/>
      <c r="C10" s="18"/>
      <c r="D10" s="18"/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45667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45668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45669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45670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45671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45672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45673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45674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45675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45676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45677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45678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45679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45680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45681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45682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45683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45684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45685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45686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45687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45688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13" t="s">
        <v>52</v>
      </c>
      <c r="B33" s="17">
        <f>SUBTOTAL(101,Tabelle1[[Sys]])</f>
        <v>0.478260869565217384</v>
      </c>
      <c r="C33" s="17">
        <f>SUBTOTAL(101,Tabelle1[[Dia]])</f>
        <v>0.956521739130434767</v>
      </c>
      <c r="D33" s="17">
        <f>SUBTOTAL(101,Tabelle1[[Puls]])</f>
        <v>1.43478260869565215</v>
      </c>
      <c r="E33" s="17">
        <f>SUBTOTAL(101,Tabelle1[[Sys*]])</f>
        <v>1.45161290322580649</v>
      </c>
      <c r="F33" s="17">
        <f>SUBTOTAL(101,Tabelle1[[Dia*]])</f>
        <v>0</v>
      </c>
      <c r="G33" s="17">
        <f>SUBTOTAL(101,Tabelle1[[Puls*]])</f>
        <v>0</v>
      </c>
      <c r="H33" s="14"/>
    </row>
  </sheetData>
  <conditionalFormatting sqref="B2">
    <cfRule type="expression" dxfId="29" priority="1">
      <formula>$B2&gt;10</formula>
    </cfRule>
  </conditionalFormatting>
  <conditionalFormatting sqref="B2:B32 E2:E32">
    <cfRule type="cellIs" dxfId="30" priority="2" operator="lessThanOrEqual">
      <formula>Werte!$H$2</formula>
    </cfRule>
  </conditionalFormatting>
  <conditionalFormatting sqref="B2:B33 E2:E33">
    <cfRule type="cellIs" dxfId="31" priority="3" operator="lessThanOrEqual">
      <formula>Werte!$C$2</formula>
    </cfRule>
  </conditionalFormatting>
  <conditionalFormatting sqref="B2:B33 E2:E33">
    <cfRule type="cellIs" dxfId="32" priority="4" operator="between">
      <formula>Werte!$D$2</formula>
      <formula>Werte!$E$2</formula>
    </cfRule>
  </conditionalFormatting>
  <conditionalFormatting sqref="B2:B33 E2:E33">
    <cfRule type="cellIs" dxfId="33" priority="5" operator="greaterThanOrEqual">
      <formula>Werte!$F$2</formula>
    </cfRule>
  </conditionalFormatting>
  <conditionalFormatting sqref="C2:C32 F2:F32">
    <cfRule type="cellIs" dxfId="34" priority="6" operator="lessThanOrEqual">
      <formula>Werte!$H$3</formula>
    </cfRule>
  </conditionalFormatting>
  <conditionalFormatting sqref="C2:C33 F2:F33">
    <cfRule type="cellIs" dxfId="35" priority="7" operator="lessThanOrEqual">
      <formula>Werte!$C$3</formula>
    </cfRule>
  </conditionalFormatting>
  <conditionalFormatting sqref="C2:C33 F2:F33">
    <cfRule type="cellIs" dxfId="36" priority="8" operator="between">
      <formula>Werte!$D$3</formula>
      <formula>Werte!$E$3</formula>
    </cfRule>
  </conditionalFormatting>
  <conditionalFormatting sqref="C2:C33 F2:F33">
    <cfRule type="cellIs" dxfId="37" priority="9" operator="greaterThanOrEqual">
      <formula>Werte!$F$3</formula>
    </cfRule>
  </conditionalFormatting>
  <conditionalFormatting sqref="B33 E33">
    <cfRule type="cellIs" dxfId="38" priority="10" operator="lessThanOrEqual">
      <formula>Werte!$C$2</formula>
    </cfRule>
  </conditionalFormatting>
  <conditionalFormatting sqref="B33 E33">
    <cfRule type="cellIs" dxfId="39" priority="11" operator="between">
      <formula>Werte!$D$2</formula>
      <formula>Werte!$E$2</formula>
    </cfRule>
  </conditionalFormatting>
  <conditionalFormatting sqref="B33 E33">
    <cfRule type="cellIs" dxfId="40" priority="12" operator="greaterThanOrEqual">
      <formula>Werte!$F$2</formula>
    </cfRule>
  </conditionalFormatting>
  <conditionalFormatting sqref="D2:D33 G2:G33">
    <cfRule type="cellIs" dxfId="41" priority="13" operator="greaterThanOrEqual">
      <formula>Werte!$B$4</formula>
    </cfRule>
  </conditionalFormatting>
  <conditionalFormatting sqref="A7">
    <cfRule type="cellIs" dxfId="42" priority="14" operator="equal">
      <formula>Werte!$K$3</formula>
    </cfRule>
  </conditionalFormatting>
  <conditionalFormatting sqref="A2">
    <cfRule type="cellIs" dxfId="43" priority="15" operator="equal">
      <formula>Werte!$K$2</formula>
    </cfRule>
  </conditionalFormatting>
  <conditionalFormatting sqref="A2:A32">
    <cfRule type="expression" dxfId="44" priority="16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J23" sqref="J23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53</v>
      </c>
      <c r="C1" s="11" t="s">
        <v>54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Januar!A32+1</f>
        <v>45689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45690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45691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45692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45693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45694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45695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45696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45697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45698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45699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45700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45701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45702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45703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45704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45705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45706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45707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45708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45709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45710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45711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45712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45713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45714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45715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45716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/>
      <c r="B30" s="18"/>
      <c r="C30" s="18"/>
      <c r="D30" s="18"/>
      <c r="E30" s="18"/>
      <c r="F30" s="18"/>
      <c r="G30" s="18"/>
      <c r="H30" s="16"/>
    </row>
    <row r="31" spans="1:8">
      <c r="A31"/>
      <c r="B31" s="18"/>
      <c r="C31" s="18"/>
      <c r="D31" s="18"/>
      <c r="E31" s="18"/>
      <c r="F31" s="18"/>
      <c r="G31" s="18"/>
      <c r="H31" s="16"/>
    </row>
    <row r="32" spans="1:8">
      <c r="A32"/>
      <c r="B32" s="18"/>
      <c r="C32" s="18"/>
      <c r="D32" s="18"/>
      <c r="E32" s="18"/>
      <c r="F32" s="18"/>
      <c r="G32" s="18"/>
      <c r="H32" s="16"/>
    </row>
    <row r="33" spans="1:8">
      <c r="A33" s="31" t="s">
        <v>52</v>
      </c>
      <c r="B33" s="18">
        <f>SUBTOTAL(101,Tabelle2[[Sys]])</f>
        <v>0</v>
      </c>
      <c r="C33" s="18">
        <f>SUBTOTAL(101,Tabelle2[[Dia]])</f>
        <v>0</v>
      </c>
      <c r="D33" s="18">
        <f>SUBTOTAL(101,Tabelle2[[Puls]])</f>
        <v>0</v>
      </c>
      <c r="E33" s="18">
        <f>SUBTOTAL(101,Tabelle2[[Sys*]])</f>
        <v>0</v>
      </c>
      <c r="F33" s="18">
        <f>SUBTOTAL(101,Tabelle2[[Dia*]])</f>
        <v>0</v>
      </c>
      <c r="G33" s="18">
        <f>SUBTOTAL(101,Tabelle2[[Puls*]])</f>
        <v>0</v>
      </c>
      <c r="H33" s="29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C2:C33 F2:F33">
    <cfRule type="cellIs" dxfId="45" priority="1" operator="lessThanOrEqual">
      <formula>Werte!$H$3</formula>
    </cfRule>
  </conditionalFormatting>
  <conditionalFormatting sqref="C2:C33 F2:F33">
    <cfRule type="cellIs" dxfId="46" priority="2" operator="lessThanOrEqual">
      <formula>Werte!$C$3</formula>
    </cfRule>
  </conditionalFormatting>
  <conditionalFormatting sqref="C2:C33 F2:F33">
    <cfRule type="cellIs" dxfId="47" priority="3" operator="between">
      <formula>Werte!$D$3</formula>
      <formula>Werte!$E$3</formula>
    </cfRule>
  </conditionalFormatting>
  <conditionalFormatting sqref="C2:C33 F2:F33">
    <cfRule type="cellIs" dxfId="48" priority="4" operator="greaterThanOrEqual">
      <formula>Werte!$F$3</formula>
    </cfRule>
  </conditionalFormatting>
  <conditionalFormatting sqref="D2:E2">
    <cfRule type="cellIs" dxfId="49" priority="5" operator="between">
      <formula>Werte!$D$3</formula>
      <formula>Werte!$E$3</formula>
    </cfRule>
  </conditionalFormatting>
  <conditionalFormatting sqref="D2:E2">
    <cfRule type="cellIs" dxfId="50" priority="6" operator="lessThanOrEqual">
      <formula>Werte!$C$3</formula>
    </cfRule>
  </conditionalFormatting>
  <conditionalFormatting sqref="D2:E2">
    <cfRule type="cellIs" dxfId="51" priority="7" operator="lessThanOrEqual">
      <formula>Werte!$H$3</formula>
    </cfRule>
  </conditionalFormatting>
  <conditionalFormatting sqref="D2:E2">
    <cfRule type="cellIs" dxfId="52" priority="8" operator="greaterThanOrEqual">
      <formula>Werte!$F$3</formula>
    </cfRule>
  </conditionalFormatting>
  <conditionalFormatting sqref="B2:B32 E3:E32">
    <cfRule type="cellIs" dxfId="53" priority="9" operator="lessThanOrEqual">
      <formula>Werte!$H$2</formula>
    </cfRule>
  </conditionalFormatting>
  <conditionalFormatting sqref="B2:B33 E3:E33">
    <cfRule type="cellIs" dxfId="54" priority="10" operator="between">
      <formula>Werte!$D$2</formula>
      <formula>Werte!$E$2</formula>
    </cfRule>
  </conditionalFormatting>
  <conditionalFormatting sqref="B2:B33 E3:E33">
    <cfRule type="cellIs" dxfId="55" priority="11" operator="lessThanOrEqual">
      <formula>Werte!$C$2</formula>
    </cfRule>
  </conditionalFormatting>
  <conditionalFormatting sqref="B2:B33 E3:E33">
    <cfRule type="cellIs" dxfId="56" priority="12" operator="greaterThanOrEqual">
      <formula>Werte!$F$2</formula>
    </cfRule>
  </conditionalFormatting>
  <conditionalFormatting sqref="G2:G33">
    <cfRule type="cellIs" dxfId="57" priority="13" operator="greaterThanOrEqual">
      <formula>Werte!$B$4</formula>
    </cfRule>
  </conditionalFormatting>
  <conditionalFormatting sqref="D3:D33">
    <cfRule type="cellIs" dxfId="58" priority="14" operator="greaterThanOrEqual">
      <formula>Werte!$B$4</formula>
    </cfRule>
  </conditionalFormatting>
  <conditionalFormatting sqref="A2:A29">
    <cfRule type="expression" dxfId="59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56</v>
      </c>
      <c r="C1" s="11" t="s">
        <v>57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Februar!A29+1</f>
        <v>45717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45718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45719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45720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45721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45722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45723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45724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45725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45726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45727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45728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45729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45730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45731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45732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45733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45734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45735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45736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45737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45738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45739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45740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45741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45742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45743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45744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45745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45746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45747</v>
      </c>
      <c r="B32" s="18"/>
      <c r="C32" s="18"/>
      <c r="D32" s="18"/>
      <c r="E32" s="18"/>
      <c r="F32" s="18"/>
      <c r="G32" s="18"/>
      <c r="H32" s="16"/>
    </row>
    <row r="33" spans="1:8">
      <c r="A33" s="19" t="s">
        <v>52</v>
      </c>
      <c r="B33" s="18">
        <f>SUBTOTAL(101,Tabelle4[[Sys]])</f>
        <v>0</v>
      </c>
      <c r="C33" s="18">
        <f>SUBTOTAL(101,Tabelle4[[Dia]])</f>
        <v>0</v>
      </c>
      <c r="D33" s="18">
        <f>SUBTOTAL(101,Tabelle4[[Puls]])</f>
        <v>0</v>
      </c>
      <c r="E33" s="18">
        <f>SUBTOTAL(101,Tabelle4[[Sys*]])</f>
        <v>0</v>
      </c>
      <c r="F33" s="18">
        <f>SUBTOTAL(101,Tabelle4[[Dia*]])</f>
        <v>0</v>
      </c>
      <c r="G33" s="18">
        <f>SUBTOTAL(101,Tabelle4[[Puls*]])</f>
        <v>0</v>
      </c>
      <c r="H33" s="20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60" priority="1" operator="greaterThanOrEqual">
      <formula>Werte!$B$4</formula>
    </cfRule>
  </conditionalFormatting>
  <conditionalFormatting sqref="D2:D33">
    <cfRule type="cellIs" dxfId="61" priority="2" operator="greaterThanOrEqual">
      <formula>Werte!$B$4</formula>
    </cfRule>
  </conditionalFormatting>
  <conditionalFormatting sqref="F2:F33">
    <cfRule type="cellIs" dxfId="62" priority="3" operator="between">
      <formula>Werte!$D$3</formula>
      <formula>Werte!$E$3</formula>
    </cfRule>
  </conditionalFormatting>
  <conditionalFormatting sqref="F2:F33">
    <cfRule type="cellIs" dxfId="63" priority="4" operator="lessThanOrEqual">
      <formula>Werte!$C$3</formula>
    </cfRule>
  </conditionalFormatting>
  <conditionalFormatting sqref="F2:F33">
    <cfRule type="cellIs" dxfId="64" priority="5" operator="greaterThanOrEqual">
      <formula>Werte!$F$3</formula>
    </cfRule>
  </conditionalFormatting>
  <conditionalFormatting sqref="C2:C33">
    <cfRule type="cellIs" dxfId="65" priority="6" operator="between">
      <formula>Werte!$D$3</formula>
      <formula>Werte!$E$3</formula>
    </cfRule>
  </conditionalFormatting>
  <conditionalFormatting sqref="C2:C33">
    <cfRule type="cellIs" dxfId="66" priority="7" operator="lessThanOrEqual">
      <formula>Werte!$C$3</formula>
    </cfRule>
  </conditionalFormatting>
  <conditionalFormatting sqref="C2:C33">
    <cfRule type="cellIs" dxfId="67" priority="8" operator="greaterThanOrEqual">
      <formula>Werte!$F$3</formula>
    </cfRule>
  </conditionalFormatting>
  <conditionalFormatting sqref="E2:E33">
    <cfRule type="cellIs" dxfId="68" priority="9" operator="between">
      <formula>Werte!$D$2</formula>
      <formula>Werte!$E$2</formula>
    </cfRule>
  </conditionalFormatting>
  <conditionalFormatting sqref="E2:E33">
    <cfRule type="cellIs" dxfId="69" priority="10" operator="lessThanOrEqual">
      <formula>Werte!$C$2</formula>
    </cfRule>
  </conditionalFormatting>
  <conditionalFormatting sqref="E2:E33">
    <cfRule type="cellIs" dxfId="70" priority="11" operator="greaterThanOrEqual">
      <formula>Werte!$F$2</formula>
    </cfRule>
  </conditionalFormatting>
  <conditionalFormatting sqref="B2:B33">
    <cfRule type="cellIs" dxfId="71" priority="12" operator="between">
      <formula>Werte!$D$2</formula>
      <formula>Werte!$E$2</formula>
    </cfRule>
  </conditionalFormatting>
  <conditionalFormatting sqref="B2:B33">
    <cfRule type="cellIs" dxfId="72" priority="13" operator="lessThanOrEqual">
      <formula>Werte!$C$2</formula>
    </cfRule>
  </conditionalFormatting>
  <conditionalFormatting sqref="B2:B33">
    <cfRule type="cellIs" dxfId="73" priority="14" operator="greaterThanOrEqual">
      <formula>Werte!$F$2</formula>
    </cfRule>
  </conditionalFormatting>
  <conditionalFormatting sqref="A2:A32">
    <cfRule type="expression" dxfId="74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58</v>
      </c>
      <c r="C1" s="11" t="s">
        <v>59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51</v>
      </c>
    </row>
    <row r="2" spans="1:8">
      <c r="A2" s="12">
        <f>März!A32+1</f>
        <v>45748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45749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45750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45751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45752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45753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45754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45755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45756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45757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45758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45759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45760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45761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45762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45763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45764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45765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45766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45767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45768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45769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45770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45771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45772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45773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45774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45775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45776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45777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26" t="s">
        <v>52</v>
      </c>
      <c r="B32" s="18">
        <f>SUBTOTAL(101,Tabelle5[[Sys]])</f>
        <v>0</v>
      </c>
      <c r="C32" s="18">
        <f>SUBTOTAL(101,Tabelle5[[Dia]])</f>
        <v>0</v>
      </c>
      <c r="D32" s="18">
        <f>SUBTOTAL(101,Tabelle5[[Puls]])</f>
        <v>0</v>
      </c>
      <c r="E32" s="18">
        <f>SUBTOTAL(101,Tabelle5[[Sys*]])</f>
        <v>0</v>
      </c>
      <c r="F32" s="18">
        <f>SUBTOTAL(101,Tabelle5[[Dia*]])</f>
        <v>0</v>
      </c>
      <c r="G32" s="18">
        <f>SUBTOTAL(101,Tabelle5[[Puls*]])</f>
        <v>0</v>
      </c>
      <c r="H32" s="16"/>
    </row>
    <row r="33" spans="1:8">
      <c r="A33"/>
      <c r="B33"/>
      <c r="C33"/>
      <c r="D33"/>
      <c r="E33"/>
      <c r="F33"/>
      <c r="G33"/>
      <c r="H33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2">
    <cfRule type="cellIs" dxfId="75" priority="1" operator="greaterThanOrEqual">
      <formula>Werte!$B$4</formula>
    </cfRule>
  </conditionalFormatting>
  <conditionalFormatting sqref="D2:D32">
    <cfRule type="cellIs" dxfId="76" priority="2" operator="greaterThanOrEqual">
      <formula>Werte!$B$4</formula>
    </cfRule>
  </conditionalFormatting>
  <conditionalFormatting sqref="F2:F32">
    <cfRule type="cellIs" dxfId="77" priority="3" operator="between">
      <formula>Werte!$D$3</formula>
      <formula>Werte!$E$3</formula>
    </cfRule>
  </conditionalFormatting>
  <conditionalFormatting sqref="F2:F32">
    <cfRule type="cellIs" dxfId="78" priority="4" operator="lessThanOrEqual">
      <formula>Werte!$C$3</formula>
    </cfRule>
  </conditionalFormatting>
  <conditionalFormatting sqref="F2:F32">
    <cfRule type="cellIs" dxfId="79" priority="5" operator="greaterThanOrEqual">
      <formula>Werte!$F$3</formula>
    </cfRule>
  </conditionalFormatting>
  <conditionalFormatting sqref="C2:C32">
    <cfRule type="cellIs" dxfId="80" priority="6" operator="between">
      <formula>Werte!$D$3</formula>
      <formula>Werte!$E$3</formula>
    </cfRule>
  </conditionalFormatting>
  <conditionalFormatting sqref="C2:C32">
    <cfRule type="cellIs" dxfId="81" priority="7" operator="lessThanOrEqual">
      <formula>Werte!$C$3</formula>
    </cfRule>
  </conditionalFormatting>
  <conditionalFormatting sqref="C2:C32">
    <cfRule type="cellIs" dxfId="82" priority="8" operator="greaterThanOrEqual">
      <formula>Werte!$F$3</formula>
    </cfRule>
  </conditionalFormatting>
  <conditionalFormatting sqref="E2:E32">
    <cfRule type="cellIs" dxfId="83" priority="9" operator="between">
      <formula>Werte!$D$2</formula>
      <formula>Werte!$E$2</formula>
    </cfRule>
  </conditionalFormatting>
  <conditionalFormatting sqref="E2:E32">
    <cfRule type="cellIs" dxfId="84" priority="10" operator="lessThanOrEqual">
      <formula>Werte!$C$2</formula>
    </cfRule>
  </conditionalFormatting>
  <conditionalFormatting sqref="E2:E32">
    <cfRule type="cellIs" dxfId="85" priority="11" operator="greaterThanOrEqual">
      <formula>Werte!$F$2</formula>
    </cfRule>
  </conditionalFormatting>
  <conditionalFormatting sqref="B2:B32">
    <cfRule type="cellIs" dxfId="86" priority="12" operator="between">
      <formula>Werte!$D$2</formula>
      <formula>Werte!$E$2</formula>
    </cfRule>
  </conditionalFormatting>
  <conditionalFormatting sqref="B2:B32">
    <cfRule type="cellIs" dxfId="87" priority="13" operator="lessThanOrEqual">
      <formula>Werte!$C$2</formula>
    </cfRule>
  </conditionalFormatting>
  <conditionalFormatting sqref="B2:B32">
    <cfRule type="cellIs" dxfId="88" priority="14" operator="greaterThanOrEqual">
      <formula>Werte!$F$2</formula>
    </cfRule>
  </conditionalFormatting>
  <conditionalFormatting sqref="A2:A31">
    <cfRule type="cellIs" dxfId="89" priority="15" operator="equal">
      <formula>Werte!$K$5</formula>
    </cfRule>
  </conditionalFormatting>
  <conditionalFormatting sqref="A2:A31">
    <cfRule type="cellIs" dxfId="90" priority="16" operator="equal">
      <formula>Werte!$K$4</formula>
    </cfRule>
  </conditionalFormatting>
  <conditionalFormatting sqref="A2:A31">
    <cfRule type="expression" dxfId="91" priority="17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60</v>
      </c>
      <c r="C1" s="11" t="s">
        <v>61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51</v>
      </c>
    </row>
    <row r="2" spans="1:8">
      <c r="A2" s="12">
        <f>April!A31+1</f>
        <v>45778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45779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45780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45781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45782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45783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45784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45785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45786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45787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45788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45789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45790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45791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45792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45793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45794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45795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45796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45797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45798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45799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45800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45801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45802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45803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45804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45805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45806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45807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45808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26" t="s">
        <v>52</v>
      </c>
      <c r="B33" s="18">
        <f>SUBTOTAL(101,Tabelle3[[Sys]])</f>
        <v>0</v>
      </c>
      <c r="C33" s="18">
        <f>SUBTOTAL(101,Tabelle3[[Dia]])</f>
        <v>0</v>
      </c>
      <c r="D33" s="18">
        <f>SUBTOTAL(101,Tabelle3[[Puls]])</f>
        <v>0</v>
      </c>
      <c r="E33" s="18">
        <f>SUBTOTAL(101,Tabelle3[[Sys*]])</f>
        <v>0</v>
      </c>
      <c r="F33" s="18">
        <f>SUBTOTAL(101,Tabelle3[[Dia*]])</f>
        <v>0</v>
      </c>
      <c r="G33" s="18">
        <f>SUBTOTAL(101,Tabelle3[[Puls*]])</f>
        <v>0</v>
      </c>
      <c r="H33"/>
    </row>
    <row r="34" spans="1:7">
      <c r="A34"/>
      <c r="B34"/>
      <c r="C34"/>
      <c r="D34"/>
      <c r="E34"/>
      <c r="F34"/>
      <c r="G34"/>
    </row>
  </sheetData>
  <sheetProtection sheet="1" autoFilter="0"/>
  <conditionalFormatting sqref="G2:G33">
    <cfRule type="cellIs" dxfId="92" priority="1" operator="greaterThanOrEqual">
      <formula>Werte!$B$4</formula>
    </cfRule>
  </conditionalFormatting>
  <conditionalFormatting sqref="D2:D33">
    <cfRule type="cellIs" dxfId="93" priority="2" operator="greaterThanOrEqual">
      <formula>Werte!$B$4</formula>
    </cfRule>
  </conditionalFormatting>
  <conditionalFormatting sqref="F2:F33">
    <cfRule type="cellIs" dxfId="94" priority="3" operator="between">
      <formula>Werte!$D$3</formula>
      <formula>Werte!$E$3</formula>
    </cfRule>
  </conditionalFormatting>
  <conditionalFormatting sqref="F2:F33">
    <cfRule type="cellIs" dxfId="95" priority="4" operator="lessThanOrEqual">
      <formula>Werte!$C$3</formula>
    </cfRule>
  </conditionalFormatting>
  <conditionalFormatting sqref="F2:F33">
    <cfRule type="cellIs" dxfId="96" priority="5" operator="greaterThanOrEqual">
      <formula>Werte!$F$3</formula>
    </cfRule>
  </conditionalFormatting>
  <conditionalFormatting sqref="C2:C33">
    <cfRule type="cellIs" dxfId="97" priority="6" operator="between">
      <formula>Werte!$D$3</formula>
      <formula>Werte!$E$3</formula>
    </cfRule>
  </conditionalFormatting>
  <conditionalFormatting sqref="C2:C33">
    <cfRule type="cellIs" dxfId="98" priority="7" operator="lessThanOrEqual">
      <formula>Werte!$C$3</formula>
    </cfRule>
  </conditionalFormatting>
  <conditionalFormatting sqref="C2:C33">
    <cfRule type="cellIs" dxfId="99" priority="8" operator="greaterThanOrEqual">
      <formula>Werte!$F$3</formula>
    </cfRule>
  </conditionalFormatting>
  <conditionalFormatting sqref="E2:E33">
    <cfRule type="cellIs" dxfId="100" priority="9" operator="between">
      <formula>Werte!$D$2</formula>
      <formula>Werte!$E$2</formula>
    </cfRule>
  </conditionalFormatting>
  <conditionalFormatting sqref="E2:E33">
    <cfRule type="cellIs" dxfId="101" priority="10" operator="lessThanOrEqual">
      <formula>Werte!$C$2</formula>
    </cfRule>
  </conditionalFormatting>
  <conditionalFormatting sqref="E2:E33">
    <cfRule type="cellIs" dxfId="102" priority="11" operator="greaterThanOrEqual">
      <formula>Werte!$F$2</formula>
    </cfRule>
  </conditionalFormatting>
  <conditionalFormatting sqref="B2:B33">
    <cfRule type="cellIs" dxfId="103" priority="12" operator="between">
      <formula>Werte!$D$2</formula>
      <formula>Werte!$E$2</formula>
    </cfRule>
  </conditionalFormatting>
  <conditionalFormatting sqref="B2:B33">
    <cfRule type="cellIs" dxfId="104" priority="13" operator="lessThanOrEqual">
      <formula>Werte!$C$2</formula>
    </cfRule>
  </conditionalFormatting>
  <conditionalFormatting sqref="B2:B33">
    <cfRule type="cellIs" dxfId="105" priority="14" operator="greaterThanOrEqual">
      <formula>Werte!$F$2</formula>
    </cfRule>
  </conditionalFormatting>
  <conditionalFormatting sqref="A2:A32">
    <cfRule type="cellIs" dxfId="106" priority="15" operator="equal">
      <formula>Werte!$K$8</formula>
    </cfRule>
  </conditionalFormatting>
  <conditionalFormatting sqref="A2:A32">
    <cfRule type="cellIs" dxfId="107" priority="16" operator="equal">
      <formula>Werte!$K$7</formula>
    </cfRule>
  </conditionalFormatting>
  <conditionalFormatting sqref="A2">
    <cfRule type="cellIs" dxfId="108" priority="17" operator="equal">
      <formula>Werte!$K$6</formula>
    </cfRule>
  </conditionalFormatting>
  <conditionalFormatting sqref="A2:A32">
    <cfRule type="expression" dxfId="109" priority="18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62</v>
      </c>
      <c r="C1" s="11" t="s">
        <v>63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Mai!A32+1</f>
        <v>45809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45810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45811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45812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45813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45814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45815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45816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45817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45818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45819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45820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45821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45822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45823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45824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45825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45826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45827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45828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45829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45830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45831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45832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45833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45834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45835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45836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45837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45838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32" t="s">
        <v>52</v>
      </c>
      <c r="B32" s="18">
        <f>SUBTOTAL(101,Tabelle6[[Sys]])</f>
        <v>0</v>
      </c>
      <c r="C32" s="18">
        <f>SUBTOTAL(101,Tabelle6[[Dia]])</f>
        <v>0</v>
      </c>
      <c r="D32" s="18">
        <f>SUBTOTAL(101,Tabelle6[[Puls]])</f>
        <v>0</v>
      </c>
      <c r="E32" s="18">
        <f>SUBTOTAL(101,Tabelle6[[Sys*]])</f>
        <v>0</v>
      </c>
      <c r="F32" s="18">
        <f>SUBTOTAL(101,Tabelle6[[Dia*]])</f>
        <v>0</v>
      </c>
      <c r="G32" s="18">
        <f>SUBTOTAL(101,Tabelle6[[Puls*]])</f>
        <v>0</v>
      </c>
      <c r="H32" s="33"/>
    </row>
    <row r="33" spans="1:8">
      <c r="A33"/>
      <c r="B33" s="18"/>
      <c r="C33" s="18"/>
      <c r="D33" s="18"/>
      <c r="E33" s="18"/>
      <c r="F33" s="18"/>
      <c r="G33" s="18"/>
      <c r="H33" s="16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2">
    <cfRule type="cellIs" dxfId="110" priority="1" operator="greaterThanOrEqual">
      <formula>Werte!$B$4</formula>
    </cfRule>
  </conditionalFormatting>
  <conditionalFormatting sqref="D2:D32">
    <cfRule type="cellIs" dxfId="111" priority="2" operator="greaterThanOrEqual">
      <formula>Werte!$B$4</formula>
    </cfRule>
  </conditionalFormatting>
  <conditionalFormatting sqref="F2:F32">
    <cfRule type="cellIs" dxfId="112" priority="3" operator="between">
      <formula>Werte!$D$3</formula>
      <formula>Werte!$E$3</formula>
    </cfRule>
  </conditionalFormatting>
  <conditionalFormatting sqref="F2:F32">
    <cfRule type="cellIs" dxfId="113" priority="4" operator="lessThanOrEqual">
      <formula>Werte!$C$3</formula>
    </cfRule>
  </conditionalFormatting>
  <conditionalFormatting sqref="F2:F32">
    <cfRule type="cellIs" dxfId="114" priority="5" operator="greaterThanOrEqual">
      <formula>Werte!$F$3</formula>
    </cfRule>
  </conditionalFormatting>
  <conditionalFormatting sqref="C2:C32">
    <cfRule type="cellIs" dxfId="115" priority="6" operator="between">
      <formula>Werte!$D$3</formula>
      <formula>Werte!$E$3</formula>
    </cfRule>
  </conditionalFormatting>
  <conditionalFormatting sqref="C2:C32">
    <cfRule type="cellIs" dxfId="116" priority="7" operator="lessThanOrEqual">
      <formula>Werte!$C$3</formula>
    </cfRule>
  </conditionalFormatting>
  <conditionalFormatting sqref="C2:C32">
    <cfRule type="cellIs" dxfId="117" priority="8" operator="greaterThanOrEqual">
      <formula>Werte!$F$3</formula>
    </cfRule>
  </conditionalFormatting>
  <conditionalFormatting sqref="E2:E32">
    <cfRule type="cellIs" dxfId="118" priority="9" operator="between">
      <formula>Werte!$D$2</formula>
      <formula>Werte!$E$2</formula>
    </cfRule>
  </conditionalFormatting>
  <conditionalFormatting sqref="E2:E32">
    <cfRule type="cellIs" dxfId="119" priority="10" operator="lessThanOrEqual">
      <formula>Werte!$C$2</formula>
    </cfRule>
  </conditionalFormatting>
  <conditionalFormatting sqref="E2:E32">
    <cfRule type="cellIs" dxfId="120" priority="11" operator="greaterThanOrEqual">
      <formula>Werte!$F$2</formula>
    </cfRule>
  </conditionalFormatting>
  <conditionalFormatting sqref="B2:B32">
    <cfRule type="cellIs" dxfId="121" priority="12" operator="between">
      <formula>Werte!$D$2</formula>
      <formula>Werte!$E$2</formula>
    </cfRule>
  </conditionalFormatting>
  <conditionalFormatting sqref="B2:B32">
    <cfRule type="cellIs" dxfId="122" priority="13" operator="lessThanOrEqual">
      <formula>Werte!$C$2</formula>
    </cfRule>
  </conditionalFormatting>
  <conditionalFormatting sqref="B2:B32">
    <cfRule type="cellIs" dxfId="123" priority="14" operator="greaterThanOrEqual">
      <formula>Werte!$F$2</formula>
    </cfRule>
  </conditionalFormatting>
  <conditionalFormatting sqref="A2:A31">
    <cfRule type="cellIs" dxfId="124" priority="15" operator="equal">
      <formula>Werte!$K$9</formula>
    </cfRule>
  </conditionalFormatting>
  <conditionalFormatting sqref="A2:A31">
    <cfRule type="cellIs" dxfId="125" priority="16" operator="equal">
      <formula>Werte!$K$8</formula>
    </cfRule>
  </conditionalFormatting>
  <conditionalFormatting sqref="C33 F33">
    <cfRule type="cellIs" dxfId="126" priority="17" operator="between">
      <formula>Werte!$F$3</formula>
      <formula>Werte!$G$3</formula>
    </cfRule>
  </conditionalFormatting>
  <conditionalFormatting sqref="C33 F33">
    <cfRule type="cellIs" dxfId="127" priority="18" operator="between">
      <formula>Werte!$D$3</formula>
      <formula>Werte!$E$3</formula>
    </cfRule>
  </conditionalFormatting>
  <conditionalFormatting sqref="C33 F33">
    <cfRule type="cellIs" dxfId="128" priority="19" operator="between">
      <formula>Werte!$B$3</formula>
      <formula>Werte!$C$3</formula>
    </cfRule>
  </conditionalFormatting>
  <conditionalFormatting sqref="D33 G33">
    <cfRule type="cellIs" dxfId="129" priority="20" operator="greaterThanOrEqual">
      <formula>Werte!$B$4</formula>
    </cfRule>
  </conditionalFormatting>
  <conditionalFormatting sqref="B33 E33">
    <cfRule type="cellIs" dxfId="130" priority="21" operator="between">
      <formula>Werte!$F$2</formula>
      <formula>Werte!$G$2</formula>
    </cfRule>
  </conditionalFormatting>
  <conditionalFormatting sqref="B33 E33">
    <cfRule type="cellIs" dxfId="131" priority="22" operator="between">
      <formula>Werte!$D$2</formula>
      <formula>Werte!$E$2</formula>
    </cfRule>
  </conditionalFormatting>
  <conditionalFormatting sqref="B33 E33">
    <cfRule type="cellIs" dxfId="132" priority="23" operator="between">
      <formula>Werte!$B$2</formula>
      <formula>Werte!$C$2</formula>
    </cfRule>
  </conditionalFormatting>
  <conditionalFormatting sqref="A2:A31">
    <cfRule type="expression" dxfId="133" priority="24">
      <formula>WEEKDAY($A2,2)&gt;=6</formula>
    </cfRule>
  </conditionalFormatting>
  <dataValidations count="1">
    <dataValidation sqref="H2:H33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64</v>
      </c>
      <c r="C1" s="11" t="s">
        <v>65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Juni!A31+1</f>
        <v>45839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8"/>
    </row>
    <row r="3" spans="1:8">
      <c r="A3" s="12">
        <f>A2+1</f>
        <v>45840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8"/>
    </row>
    <row r="4" spans="1:8">
      <c r="A4" s="12">
        <f>A3+1</f>
        <v>45841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8"/>
    </row>
    <row r="5" spans="1:8">
      <c r="A5" s="12">
        <f>A4+1</f>
        <v>45842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8"/>
    </row>
    <row r="6" spans="1:8">
      <c r="A6" s="12">
        <f>A5+1</f>
        <v>45843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8"/>
    </row>
    <row r="7" spans="1:8">
      <c r="A7" s="12">
        <f>A6+1</f>
        <v>45844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8"/>
    </row>
    <row r="8" spans="1:8">
      <c r="A8" s="12">
        <f>A7+1</f>
        <v>45845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8"/>
    </row>
    <row r="9" spans="1:8">
      <c r="A9" s="12">
        <f>A8+1</f>
        <v>45846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/>
    </row>
    <row r="10" spans="1:8">
      <c r="A10" s="12">
        <f>A9+1</f>
        <v>45847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8"/>
    </row>
    <row r="11" spans="1:8">
      <c r="A11" s="12">
        <f>A10+1</f>
        <v>45848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/>
    </row>
    <row r="12" spans="1:8">
      <c r="A12" s="12">
        <f>A11+1</f>
        <v>45849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/>
    </row>
    <row r="13" spans="1:8">
      <c r="A13" s="12">
        <f>A12+1</f>
        <v>45850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8"/>
    </row>
    <row r="14" spans="1:8">
      <c r="A14" s="12">
        <f>A13+1</f>
        <v>45851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8"/>
    </row>
    <row r="15" spans="1:8">
      <c r="A15" s="12">
        <f>A14+1</f>
        <v>45852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8"/>
    </row>
    <row r="16" spans="1:8">
      <c r="A16" s="12">
        <f>A15+1</f>
        <v>45853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/>
    </row>
    <row r="17" spans="1:8">
      <c r="A17" s="12">
        <f>A16+1</f>
        <v>45854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8"/>
    </row>
    <row r="18" spans="1:8">
      <c r="A18" s="12">
        <f>A17+1</f>
        <v>45855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8"/>
    </row>
    <row r="19" spans="1:8">
      <c r="A19" s="12">
        <f>A18+1</f>
        <v>45856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8"/>
    </row>
    <row r="20" spans="1:8">
      <c r="A20" s="12">
        <f>A19+1</f>
        <v>45857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/>
    </row>
    <row r="21" spans="1:8">
      <c r="A21" s="12">
        <f>A20+1</f>
        <v>45858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8"/>
    </row>
    <row r="22" spans="1:8">
      <c r="A22" s="12">
        <f>A21+1</f>
        <v>45859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8"/>
    </row>
    <row r="23" spans="1:8">
      <c r="A23" s="12">
        <f>A22+1</f>
        <v>45860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8"/>
    </row>
    <row r="24" spans="1:8">
      <c r="A24" s="12">
        <f>A23+1</f>
        <v>45861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8"/>
    </row>
    <row r="25" spans="1:8">
      <c r="A25" s="12">
        <f>A24+1</f>
        <v>45862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8"/>
    </row>
    <row r="26" spans="1:8">
      <c r="A26" s="12">
        <f>A25+1</f>
        <v>45863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8"/>
    </row>
    <row r="27" spans="1:8">
      <c r="A27" s="12">
        <f>A26+1</f>
        <v>45864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8"/>
    </row>
    <row r="28" spans="1:8">
      <c r="A28" s="12">
        <f>A27+1</f>
        <v>45865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8"/>
    </row>
    <row r="29" spans="1:8">
      <c r="A29" s="12">
        <f>A28+1</f>
        <v>45866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8"/>
    </row>
    <row r="30" spans="1:8">
      <c r="A30" s="12">
        <f>A29+1</f>
        <v>45867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8"/>
    </row>
    <row r="31" spans="1:8">
      <c r="A31" s="12">
        <f>A30+1</f>
        <v>45868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8"/>
    </row>
    <row r="32" spans="1:8">
      <c r="A32" s="12">
        <f>A31+1</f>
        <v>45869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8"/>
    </row>
    <row r="33" spans="1:8">
      <c r="A33" s="26" t="s">
        <v>52</v>
      </c>
      <c r="B33" s="18">
        <f>SUBTOTAL(101,Tabelle7[[Sys]])</f>
        <v>0</v>
      </c>
      <c r="C33" s="18">
        <f>SUBTOTAL(101,Tabelle7[[Dia]])</f>
        <v>0</v>
      </c>
      <c r="D33" s="18">
        <f>SUBTOTAL(101,Tabelle7[[Puls]])</f>
        <v>0</v>
      </c>
      <c r="E33" s="18">
        <f>SUBTOTAL(101,Tabelle7[[Sys*]])</f>
        <v>0</v>
      </c>
      <c r="F33" s="18">
        <f>SUBTOTAL(101,Tabelle7[[Dia*]])</f>
        <v>0</v>
      </c>
      <c r="G33" s="18">
        <f>SUBTOTAL(101,Tabelle7[[Puls*]])</f>
        <v>0</v>
      </c>
      <c r="H33" s="27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134" priority="1" operator="greaterThanOrEqual">
      <formula>Werte!$B$4</formula>
    </cfRule>
  </conditionalFormatting>
  <conditionalFormatting sqref="D2:D33">
    <cfRule type="cellIs" dxfId="135" priority="2" operator="greaterThanOrEqual">
      <formula>Werte!$B$4</formula>
    </cfRule>
  </conditionalFormatting>
  <conditionalFormatting sqref="F2:F33">
    <cfRule type="cellIs" dxfId="136" priority="3" operator="between">
      <formula>Werte!$D$3</formula>
      <formula>Werte!$E$3</formula>
    </cfRule>
  </conditionalFormatting>
  <conditionalFormatting sqref="F2:F33">
    <cfRule type="cellIs" dxfId="137" priority="4" operator="lessThanOrEqual">
      <formula>Werte!$C$3</formula>
    </cfRule>
  </conditionalFormatting>
  <conditionalFormatting sqref="F2:F33">
    <cfRule type="cellIs" dxfId="138" priority="5" operator="greaterThanOrEqual">
      <formula>Werte!$F$3</formula>
    </cfRule>
  </conditionalFormatting>
  <conditionalFormatting sqref="C2:C33">
    <cfRule type="cellIs" dxfId="139" priority="6" operator="between">
      <formula>Werte!$D$3</formula>
      <formula>Werte!$E$3</formula>
    </cfRule>
  </conditionalFormatting>
  <conditionalFormatting sqref="C2:C33">
    <cfRule type="cellIs" dxfId="140" priority="7" operator="lessThanOrEqual">
      <formula>Werte!$C$3</formula>
    </cfRule>
  </conditionalFormatting>
  <conditionalFormatting sqref="C2:C33">
    <cfRule type="cellIs" dxfId="141" priority="8" operator="greaterThanOrEqual">
      <formula>Werte!$F$3</formula>
    </cfRule>
  </conditionalFormatting>
  <conditionalFormatting sqref="E2:E33">
    <cfRule type="cellIs" dxfId="142" priority="9" operator="between">
      <formula>Werte!$D$2</formula>
      <formula>Werte!$E$2</formula>
    </cfRule>
  </conditionalFormatting>
  <conditionalFormatting sqref="E2:E33">
    <cfRule type="cellIs" dxfId="143" priority="10" operator="lessThanOrEqual">
      <formula>Werte!$C$2</formula>
    </cfRule>
  </conditionalFormatting>
  <conditionalFormatting sqref="E2:E33">
    <cfRule type="cellIs" dxfId="144" priority="11" operator="greaterThanOrEqual">
      <formula>Werte!$F$2</formula>
    </cfRule>
  </conditionalFormatting>
  <conditionalFormatting sqref="B2:B33">
    <cfRule type="cellIs" dxfId="145" priority="12" operator="between">
      <formula>Werte!$D$2</formula>
      <formula>Werte!$E$2</formula>
    </cfRule>
  </conditionalFormatting>
  <conditionalFormatting sqref="B2:B33">
    <cfRule type="cellIs" dxfId="146" priority="13" operator="lessThanOrEqual">
      <formula>Werte!$C$2</formula>
    </cfRule>
  </conditionalFormatting>
  <conditionalFormatting sqref="B2:B33">
    <cfRule type="cellIs" dxfId="147" priority="14" operator="greaterThanOrEqual">
      <formula>Werte!$F$2</formula>
    </cfRule>
  </conditionalFormatting>
  <conditionalFormatting sqref="A2:A32">
    <cfRule type="expression" dxfId="148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66</v>
      </c>
      <c r="C1" s="11" t="s">
        <v>67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Juli!A32+1</f>
        <v>45870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45871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45872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45873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45874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45875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45876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45877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45878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45879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45880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45881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45882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45883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45884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45885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45886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45887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45888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45889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45890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45891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45892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45893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45894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45895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45896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45897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45898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45899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45900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28" t="s">
        <v>52</v>
      </c>
      <c r="B33" s="18">
        <f>SUBTOTAL(101,Tabelle8[[Sys]])</f>
        <v>0</v>
      </c>
      <c r="C33" s="18">
        <f>SUBTOTAL(101,Tabelle8[[Dia]])</f>
        <v>0</v>
      </c>
      <c r="D33" s="18">
        <f>SUBTOTAL(101,Tabelle8[[Puls]])</f>
        <v>0</v>
      </c>
      <c r="E33" s="18">
        <f>SUBTOTAL(101,Tabelle8[[Sys*]])</f>
        <v>0</v>
      </c>
      <c r="F33" s="18">
        <f>SUBTOTAL(101,Tabelle8[[Dia*]])</f>
        <v>0</v>
      </c>
      <c r="G33" s="18">
        <f>SUBTOTAL(101,Tabelle8[[Puls*]])</f>
        <v>0</v>
      </c>
      <c r="H33" s="29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149" priority="1" operator="greaterThanOrEqual">
      <formula>Werte!$B$4</formula>
    </cfRule>
  </conditionalFormatting>
  <conditionalFormatting sqref="D2:D33">
    <cfRule type="cellIs" dxfId="150" priority="2" operator="greaterThanOrEqual">
      <formula>Werte!$B$4</formula>
    </cfRule>
  </conditionalFormatting>
  <conditionalFormatting sqref="F2:F33">
    <cfRule type="cellIs" dxfId="151" priority="3" operator="between">
      <formula>Werte!$D$3</formula>
      <formula>Werte!$E$3</formula>
    </cfRule>
  </conditionalFormatting>
  <conditionalFormatting sqref="F2:F33">
    <cfRule type="cellIs" dxfId="152" priority="4" operator="lessThanOrEqual">
      <formula>Werte!$C$3</formula>
    </cfRule>
  </conditionalFormatting>
  <conditionalFormatting sqref="F2:F33">
    <cfRule type="cellIs" dxfId="153" priority="5" operator="greaterThanOrEqual">
      <formula>Werte!$F$3</formula>
    </cfRule>
  </conditionalFormatting>
  <conditionalFormatting sqref="C2:C33">
    <cfRule type="cellIs" dxfId="154" priority="6" operator="between">
      <formula>Werte!$D$3</formula>
      <formula>Werte!$E$3</formula>
    </cfRule>
  </conditionalFormatting>
  <conditionalFormatting sqref="C2:C33">
    <cfRule type="cellIs" dxfId="155" priority="7" operator="lessThanOrEqual">
      <formula>Werte!$C$3</formula>
    </cfRule>
  </conditionalFormatting>
  <conditionalFormatting sqref="C2:C33">
    <cfRule type="cellIs" dxfId="156" priority="8" operator="greaterThanOrEqual">
      <formula>Werte!$F$3</formula>
    </cfRule>
  </conditionalFormatting>
  <conditionalFormatting sqref="E2:E33">
    <cfRule type="cellIs" dxfId="157" priority="9" operator="between">
      <formula>Werte!$D$2</formula>
      <formula>Werte!$E$2</formula>
    </cfRule>
  </conditionalFormatting>
  <conditionalFormatting sqref="E2:E33">
    <cfRule type="cellIs" dxfId="158" priority="10" operator="lessThanOrEqual">
      <formula>Werte!$C$2</formula>
    </cfRule>
  </conditionalFormatting>
  <conditionalFormatting sqref="E2:E33">
    <cfRule type="cellIs" dxfId="159" priority="11" operator="greaterThanOrEqual">
      <formula>Werte!$F$2</formula>
    </cfRule>
  </conditionalFormatting>
  <conditionalFormatting sqref="B2:B33">
    <cfRule type="cellIs" dxfId="160" priority="12" operator="between">
      <formula>Werte!$D$2</formula>
      <formula>Werte!$E$2</formula>
    </cfRule>
  </conditionalFormatting>
  <conditionalFormatting sqref="B2:B33">
    <cfRule type="cellIs" dxfId="161" priority="13" operator="lessThanOrEqual">
      <formula>Werte!$C$2</formula>
    </cfRule>
  </conditionalFormatting>
  <conditionalFormatting sqref="B2:B33">
    <cfRule type="cellIs" dxfId="162" priority="14" operator="greaterThanOrEqual">
      <formula>Werte!$F$2</formula>
    </cfRule>
  </conditionalFormatting>
  <conditionalFormatting sqref="A2:A32">
    <cfRule type="expression" dxfId="163" priority="15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68</v>
      </c>
      <c r="C1" s="11" t="s">
        <v>69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August!A32+1</f>
        <v>45901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45902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45903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45904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45905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45906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45907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45908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45909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45910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45911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45912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45913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45914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45915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45916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45917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45918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45919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45920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45921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45922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45923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45924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45925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45926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45927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45928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45929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45930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28" t="s">
        <v>52</v>
      </c>
      <c r="B32" s="18">
        <f>SUBTOTAL(101,Tabelle9[[Sys]])</f>
        <v>0</v>
      </c>
      <c r="C32" s="18">
        <f>SUBTOTAL(101,Tabelle9[[Dia]])</f>
        <v>0</v>
      </c>
      <c r="D32" s="18">
        <f>SUBTOTAL(101,Tabelle9[[Puls]])</f>
        <v>0</v>
      </c>
      <c r="E32" s="18">
        <f>SUBTOTAL(101,Tabelle9[[Sys*]])</f>
        <v>0</v>
      </c>
      <c r="F32" s="18">
        <f>SUBTOTAL(101,Tabelle9[[Dia*]])</f>
        <v>0</v>
      </c>
      <c r="G32" s="18">
        <f>SUBTOTAL(101,Tabelle9[[Puls*]])</f>
        <v>0</v>
      </c>
      <c r="H32" s="29"/>
    </row>
    <row r="33" spans="1:8">
      <c r="A33"/>
      <c r="B33" s="18"/>
      <c r="C33" s="18"/>
      <c r="D33" s="18"/>
      <c r="E33" s="18"/>
      <c r="F33" s="18"/>
      <c r="G33" s="18"/>
      <c r="H33" s="16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2">
    <cfRule type="cellIs" dxfId="164" priority="1" operator="greaterThanOrEqual">
      <formula>Werte!$B$4</formula>
    </cfRule>
  </conditionalFormatting>
  <conditionalFormatting sqref="D2:D32">
    <cfRule type="cellIs" dxfId="165" priority="2" operator="greaterThanOrEqual">
      <formula>Werte!$B$4</formula>
    </cfRule>
  </conditionalFormatting>
  <conditionalFormatting sqref="F2:F32">
    <cfRule type="cellIs" dxfId="166" priority="3" operator="between">
      <formula>Werte!$D$3</formula>
      <formula>Werte!$E$3</formula>
    </cfRule>
  </conditionalFormatting>
  <conditionalFormatting sqref="F2:F32">
    <cfRule type="cellIs" dxfId="167" priority="4" operator="lessThanOrEqual">
      <formula>Werte!$C$3</formula>
    </cfRule>
  </conditionalFormatting>
  <conditionalFormatting sqref="F2:F32">
    <cfRule type="cellIs" dxfId="168" priority="5" operator="greaterThanOrEqual">
      <formula>Werte!$F$3</formula>
    </cfRule>
  </conditionalFormatting>
  <conditionalFormatting sqref="C2:C32">
    <cfRule type="cellIs" dxfId="169" priority="6" operator="between">
      <formula>Werte!$D$3</formula>
      <formula>Werte!$E$3</formula>
    </cfRule>
  </conditionalFormatting>
  <conditionalFormatting sqref="C2:C32">
    <cfRule type="cellIs" dxfId="170" priority="7" operator="lessThanOrEqual">
      <formula>Werte!$C$3</formula>
    </cfRule>
  </conditionalFormatting>
  <conditionalFormatting sqref="C2:C32">
    <cfRule type="cellIs" dxfId="171" priority="8" operator="greaterThanOrEqual">
      <formula>Werte!$F$3</formula>
    </cfRule>
  </conditionalFormatting>
  <conditionalFormatting sqref="E2:E32">
    <cfRule type="cellIs" dxfId="172" priority="9" operator="between">
      <formula>Werte!$D$2</formula>
      <formula>Werte!$E$2</formula>
    </cfRule>
  </conditionalFormatting>
  <conditionalFormatting sqref="E2:E32">
    <cfRule type="cellIs" dxfId="173" priority="10" operator="lessThanOrEqual">
      <formula>Werte!$C$2</formula>
    </cfRule>
  </conditionalFormatting>
  <conditionalFormatting sqref="E2:E32">
    <cfRule type="cellIs" dxfId="174" priority="11" operator="greaterThanOrEqual">
      <formula>Werte!$F$2</formula>
    </cfRule>
  </conditionalFormatting>
  <conditionalFormatting sqref="B2:B32">
    <cfRule type="cellIs" dxfId="175" priority="12" operator="between">
      <formula>Werte!$D$2</formula>
      <formula>Werte!$E$2</formula>
    </cfRule>
  </conditionalFormatting>
  <conditionalFormatting sqref="B2:B32">
    <cfRule type="cellIs" dxfId="176" priority="13" operator="lessThanOrEqual">
      <formula>Werte!$C$2</formula>
    </cfRule>
  </conditionalFormatting>
  <conditionalFormatting sqref="B2:B32">
    <cfRule type="cellIs" dxfId="177" priority="14" operator="greaterThanOrEqual">
      <formula>Werte!$F$2</formula>
    </cfRule>
  </conditionalFormatting>
  <conditionalFormatting sqref="C33 F33">
    <cfRule type="cellIs" dxfId="178" priority="15" operator="between">
      <formula>Werte!$F$3</formula>
      <formula>Werte!$G$3</formula>
    </cfRule>
  </conditionalFormatting>
  <conditionalFormatting sqref="C33 F33">
    <cfRule type="cellIs" dxfId="179" priority="16" operator="between">
      <formula>Werte!$D$3</formula>
      <formula>Werte!$E$3</formula>
    </cfRule>
  </conditionalFormatting>
  <conditionalFormatting sqref="C33 F33">
    <cfRule type="cellIs" dxfId="180" priority="17" operator="between">
      <formula>Werte!$B$3</formula>
      <formula>Werte!$C$3</formula>
    </cfRule>
  </conditionalFormatting>
  <conditionalFormatting sqref="D33 G33">
    <cfRule type="cellIs" dxfId="181" priority="18" operator="greaterThanOrEqual">
      <formula>Werte!$B$4</formula>
    </cfRule>
  </conditionalFormatting>
  <conditionalFormatting sqref="B33 E33">
    <cfRule type="cellIs" dxfId="182" priority="19" operator="between">
      <formula>Werte!$F$2</formula>
      <formula>Werte!$G$2</formula>
    </cfRule>
  </conditionalFormatting>
  <conditionalFormatting sqref="B33 E33">
    <cfRule type="cellIs" dxfId="183" priority="20" operator="between">
      <formula>Werte!$D$2</formula>
      <formula>Werte!$E$2</formula>
    </cfRule>
  </conditionalFormatting>
  <conditionalFormatting sqref="B33 E33">
    <cfRule type="cellIs" dxfId="184" priority="21" operator="between">
      <formula>Werte!$B$2</formula>
      <formula>Werte!$C$2</formula>
    </cfRule>
  </conditionalFormatting>
  <conditionalFormatting sqref="A2:A31">
    <cfRule type="expression" dxfId="185" priority="22">
      <formula>WEEKDAY($A2,2)&gt;=6</formula>
    </cfRule>
  </conditionalFormatting>
  <dataValidations count="1">
    <dataValidation sqref="H2:H33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70</v>
      </c>
      <c r="C1" s="11" t="s">
        <v>71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September!A31+1</f>
        <v>45931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45932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45933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45934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45935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45936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45937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45938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45939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45940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45941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45942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45943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45944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45945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45946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45947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45948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45949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45950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45951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45952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45953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45954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45955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45956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45957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45958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45959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45960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45961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26" t="s">
        <v>52</v>
      </c>
      <c r="B33" s="18">
        <f>SUBTOTAL(101,Tabelle10[[Sys]])</f>
        <v>0</v>
      </c>
      <c r="C33" s="18">
        <f>SUBTOTAL(101,Tabelle10[[Dia]])</f>
        <v>0</v>
      </c>
      <c r="D33" s="18">
        <f>SUBTOTAL(101,Tabelle10[[Puls]])</f>
        <v>0</v>
      </c>
      <c r="E33" s="18">
        <f>SUBTOTAL(101,Tabelle10[[Sys*]])</f>
        <v>0</v>
      </c>
      <c r="F33" s="18">
        <f>SUBTOTAL(101,Tabelle10[[Dia*]])</f>
        <v>0</v>
      </c>
      <c r="G33" s="18">
        <f>SUBTOTAL(101,Tabelle10[[Puls*]])</f>
        <v>0</v>
      </c>
      <c r="H33" s="34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186" priority="1" operator="greaterThanOrEqual">
      <formula>Werte!$B$4</formula>
    </cfRule>
  </conditionalFormatting>
  <conditionalFormatting sqref="D2:D33">
    <cfRule type="cellIs" dxfId="187" priority="2" operator="greaterThanOrEqual">
      <formula>Werte!$B$4</formula>
    </cfRule>
  </conditionalFormatting>
  <conditionalFormatting sqref="F2:F33">
    <cfRule type="cellIs" dxfId="188" priority="3" operator="between">
      <formula>Werte!$D$3</formula>
      <formula>Werte!$E$3</formula>
    </cfRule>
  </conditionalFormatting>
  <conditionalFormatting sqref="F2:F33">
    <cfRule type="cellIs" dxfId="189" priority="4" operator="lessThanOrEqual">
      <formula>Werte!$C$3</formula>
    </cfRule>
  </conditionalFormatting>
  <conditionalFormatting sqref="F2:F33">
    <cfRule type="cellIs" dxfId="190" priority="5" operator="greaterThanOrEqual">
      <formula>Werte!$F$3</formula>
    </cfRule>
  </conditionalFormatting>
  <conditionalFormatting sqref="C2:C33">
    <cfRule type="cellIs" dxfId="191" priority="6" operator="between">
      <formula>Werte!$D$3</formula>
      <formula>Werte!$E$3</formula>
    </cfRule>
  </conditionalFormatting>
  <conditionalFormatting sqref="C2:C33">
    <cfRule type="cellIs" dxfId="192" priority="7" operator="lessThanOrEqual">
      <formula>Werte!$C$3</formula>
    </cfRule>
  </conditionalFormatting>
  <conditionalFormatting sqref="C2:C33">
    <cfRule type="cellIs" dxfId="193" priority="8" operator="greaterThanOrEqual">
      <formula>Werte!$F$3</formula>
    </cfRule>
  </conditionalFormatting>
  <conditionalFormatting sqref="E2:E33">
    <cfRule type="cellIs" dxfId="194" priority="9" operator="between">
      <formula>Werte!$D$2</formula>
      <formula>Werte!$E$2</formula>
    </cfRule>
  </conditionalFormatting>
  <conditionalFormatting sqref="E2:E33">
    <cfRule type="cellIs" dxfId="195" priority="10" operator="lessThanOrEqual">
      <formula>Werte!$C$2</formula>
    </cfRule>
  </conditionalFormatting>
  <conditionalFormatting sqref="E2:E33">
    <cfRule type="cellIs" dxfId="196" priority="11" operator="greaterThanOrEqual">
      <formula>Werte!$F$2</formula>
    </cfRule>
  </conditionalFormatting>
  <conditionalFormatting sqref="B2:B33">
    <cfRule type="cellIs" dxfId="197" priority="12" operator="greaterThanOrEqual">
      <formula>Werte!$F$2</formula>
    </cfRule>
  </conditionalFormatting>
  <conditionalFormatting sqref="B2:B33">
    <cfRule type="cellIs" dxfId="198" priority="13" operator="lessThanOrEqual">
      <formula>Werte!$C$2</formula>
    </cfRule>
  </conditionalFormatting>
  <conditionalFormatting sqref="B2:B33">
    <cfRule type="cellIs" dxfId="199" priority="14" operator="between">
      <formula>Werte!$D$2</formula>
      <formula>Werte!$E$2</formula>
    </cfRule>
  </conditionalFormatting>
  <conditionalFormatting sqref="A2:A32">
    <cfRule type="cellIs" dxfId="200" priority="15" operator="equal">
      <formula>Werte!$K$10</formula>
    </cfRule>
  </conditionalFormatting>
  <conditionalFormatting sqref="A2:A32">
    <cfRule type="expression" dxfId="201" priority="16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72</v>
      </c>
      <c r="C1" s="11" t="s">
        <v>73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Oktober!A32+1</f>
        <v>45962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45963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45964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45965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45966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45967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45968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45969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45970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45971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45972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45973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45974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45975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45976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45977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45978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45979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45980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45981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45982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45983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45984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45985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45986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45987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45988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45989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45990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45991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28" t="s">
        <v>52</v>
      </c>
      <c r="B32" s="18">
        <f>SUBTOTAL(101,Tabelle11[[Sys]])</f>
        <v>0</v>
      </c>
      <c r="C32" s="18">
        <f>SUBTOTAL(101,Tabelle11[[Dia]])</f>
        <v>0</v>
      </c>
      <c r="D32" s="18">
        <f>SUBTOTAL(101,Tabelle11[[Puls]])</f>
        <v>0</v>
      </c>
      <c r="E32" s="18">
        <f>SUBTOTAL(101,Tabelle11[[Sys*]])</f>
        <v>0</v>
      </c>
      <c r="F32" s="18">
        <f>SUBTOTAL(101,Tabelle11[[Dia*]])</f>
        <v>0</v>
      </c>
      <c r="G32" s="18">
        <f>SUBTOTAL(101,Tabelle11[[Puls*]])</f>
        <v>0</v>
      </c>
      <c r="H32" s="29"/>
    </row>
    <row r="33" spans="1:8">
      <c r="A33"/>
      <c r="B33" s="18"/>
      <c r="C33" s="18"/>
      <c r="D33" s="18"/>
      <c r="E33" s="18"/>
      <c r="F33" s="18"/>
      <c r="G33" s="18"/>
      <c r="H33" s="16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2">
    <cfRule type="cellIs" dxfId="202" priority="1" operator="greaterThanOrEqual">
      <formula>Werte!$B$4</formula>
    </cfRule>
  </conditionalFormatting>
  <conditionalFormatting sqref="D2:D32">
    <cfRule type="cellIs" dxfId="203" priority="2" operator="greaterThanOrEqual">
      <formula>Werte!$B$4</formula>
    </cfRule>
  </conditionalFormatting>
  <conditionalFormatting sqref="F2:F32">
    <cfRule type="cellIs" dxfId="204" priority="3" operator="between">
      <formula>Werte!$D$3</formula>
      <formula>Werte!$E$3</formula>
    </cfRule>
  </conditionalFormatting>
  <conditionalFormatting sqref="F2:F32">
    <cfRule type="cellIs" dxfId="205" priority="4" operator="lessThanOrEqual">
      <formula>Werte!$C$3</formula>
    </cfRule>
  </conditionalFormatting>
  <conditionalFormatting sqref="F2:F32">
    <cfRule type="cellIs" dxfId="206" priority="5" operator="greaterThanOrEqual">
      <formula>Werte!$F$3</formula>
    </cfRule>
  </conditionalFormatting>
  <conditionalFormatting sqref="C2:C32">
    <cfRule type="cellIs" dxfId="207" priority="6" operator="between">
      <formula>Werte!$D$3</formula>
      <formula>Werte!$E$3</formula>
    </cfRule>
  </conditionalFormatting>
  <conditionalFormatting sqref="C2:C32">
    <cfRule type="cellIs" dxfId="208" priority="7" operator="lessThanOrEqual">
      <formula>Werte!$C$3</formula>
    </cfRule>
  </conditionalFormatting>
  <conditionalFormatting sqref="C2:C32">
    <cfRule type="cellIs" dxfId="209" priority="8" operator="greaterThanOrEqual">
      <formula>Werte!$F$3</formula>
    </cfRule>
  </conditionalFormatting>
  <conditionalFormatting sqref="E2:E32">
    <cfRule type="cellIs" dxfId="210" priority="9" operator="between">
      <formula>Werte!$D$2</formula>
      <formula>Werte!$E$2</formula>
    </cfRule>
  </conditionalFormatting>
  <conditionalFormatting sqref="E2:E32">
    <cfRule type="cellIs" dxfId="211" priority="10" operator="lessThanOrEqual">
      <formula>Werte!$C$2</formula>
    </cfRule>
  </conditionalFormatting>
  <conditionalFormatting sqref="E2:E32">
    <cfRule type="cellIs" dxfId="212" priority="11" operator="greaterThanOrEqual">
      <formula>Werte!$F$2</formula>
    </cfRule>
  </conditionalFormatting>
  <conditionalFormatting sqref="B2:B32">
    <cfRule type="cellIs" dxfId="213" priority="12" operator="between">
      <formula>Werte!$D$2</formula>
      <formula>Werte!$E$2</formula>
    </cfRule>
  </conditionalFormatting>
  <conditionalFormatting sqref="B2:B32">
    <cfRule type="cellIs" dxfId="214" priority="13" operator="lessThanOrEqual">
      <formula>Werte!$C$2</formula>
    </cfRule>
  </conditionalFormatting>
  <conditionalFormatting sqref="B2:B32">
    <cfRule type="cellIs" dxfId="215" priority="14" operator="greaterThanOrEqual">
      <formula>Werte!$F$2</formula>
    </cfRule>
  </conditionalFormatting>
  <conditionalFormatting sqref="A2:A31">
    <cfRule type="cellIs" dxfId="216" priority="15" operator="equal">
      <formula>Werte!$K$11</formula>
    </cfRule>
  </conditionalFormatting>
  <conditionalFormatting sqref="C33 F33">
    <cfRule type="cellIs" dxfId="217" priority="16" operator="between">
      <formula>Werte!$F$3</formula>
      <formula>Werte!$G$3</formula>
    </cfRule>
  </conditionalFormatting>
  <conditionalFormatting sqref="C33 F33">
    <cfRule type="cellIs" dxfId="218" priority="17" operator="between">
      <formula>Werte!$D$3</formula>
      <formula>Werte!$E$3</formula>
    </cfRule>
  </conditionalFormatting>
  <conditionalFormatting sqref="C33 F33">
    <cfRule type="cellIs" dxfId="219" priority="18" operator="between">
      <formula>Werte!$B$3</formula>
      <formula>Werte!$C$3</formula>
    </cfRule>
  </conditionalFormatting>
  <conditionalFormatting sqref="D33 G33">
    <cfRule type="cellIs" dxfId="220" priority="19" operator="greaterThanOrEqual">
      <formula>Werte!$B$4</formula>
    </cfRule>
  </conditionalFormatting>
  <conditionalFormatting sqref="B33 E33">
    <cfRule type="cellIs" dxfId="221" priority="20" operator="between">
      <formula>Werte!$F$2</formula>
      <formula>Werte!$G$2</formula>
    </cfRule>
  </conditionalFormatting>
  <conditionalFormatting sqref="B33 E33">
    <cfRule type="cellIs" dxfId="222" priority="21" operator="between">
      <formula>Werte!$D$2</formula>
      <formula>Werte!$E$2</formula>
    </cfRule>
  </conditionalFormatting>
  <conditionalFormatting sqref="B33 E33">
    <cfRule type="cellIs" dxfId="223" priority="22" operator="between">
      <formula>Werte!$B$2</formula>
      <formula>Werte!$C$2</formula>
    </cfRule>
  </conditionalFormatting>
  <conditionalFormatting sqref="A2:A31">
    <cfRule type="expression" dxfId="224" priority="23">
      <formula>WEEKDAY($A2,2)&gt;=6</formula>
    </cfRule>
  </conditionalFormatting>
  <dataValidations count="1">
    <dataValidation sqref="H2:H33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H34"/>
  <sheetViews>
    <sheetView showZeros="0" view="normal" workbookViewId="0">
      <selection activeCell="B2" sqref="B2"/>
    </sheetView>
  </sheetViews>
  <sheetFormatPr baseColWidth="9" defaultColWidth="10.000000" defaultRowHeight="15.20"/>
  <cols>
    <col min="1" max="1" width="13.270270" customWidth="1" style="4"/>
    <col min="2" max="7" width="6.819820" customWidth="1" style="4"/>
    <col min="8" max="8" width="8.099099" customWidth="1" style="4"/>
    <col min="9" max="16384" width="10.000000" style="3"/>
  </cols>
  <sheetData>
    <row r="1" spans="1:8">
      <c r="A1" s="10" t="s">
        <v>48</v>
      </c>
      <c r="B1" s="11" t="s">
        <v>74</v>
      </c>
      <c r="C1" s="11" t="s">
        <v>75</v>
      </c>
      <c r="D1" s="11" t="s">
        <v>5</v>
      </c>
      <c r="E1" s="11" t="s">
        <v>6</v>
      </c>
      <c r="F1" s="11" t="s">
        <v>7</v>
      </c>
      <c r="G1" s="11" t="s">
        <v>8</v>
      </c>
      <c r="H1" s="11" t="s">
        <v>55</v>
      </c>
    </row>
    <row r="2" spans="1:8">
      <c r="A2" s="12">
        <f>November!A31+1</f>
        <v>45992</v>
      </c>
      <c r="B2" s="18" t="n">
        <v>0</v>
      </c>
      <c r="C2" s="18" t="n">
        <v>0</v>
      </c>
      <c r="D2" s="18" t="n">
        <v>0</v>
      </c>
      <c r="E2" s="18" t="n">
        <v>0</v>
      </c>
      <c r="F2" s="18" t="n">
        <v>0</v>
      </c>
      <c r="G2" s="18" t="n">
        <v>0</v>
      </c>
      <c r="H2" s="16"/>
    </row>
    <row r="3" spans="1:8">
      <c r="A3" s="12">
        <f>A2+1</f>
        <v>45993</v>
      </c>
      <c r="B3" s="18" t="n">
        <v>0</v>
      </c>
      <c r="C3" s="18" t="n">
        <v>0</v>
      </c>
      <c r="D3" s="18" t="n">
        <v>0</v>
      </c>
      <c r="E3" s="18" t="n">
        <v>0</v>
      </c>
      <c r="F3" s="18" t="n">
        <v>0</v>
      </c>
      <c r="G3" s="18" t="n">
        <v>0</v>
      </c>
      <c r="H3" s="16"/>
    </row>
    <row r="4" spans="1:8">
      <c r="A4" s="12">
        <f>A3+1</f>
        <v>45994</v>
      </c>
      <c r="B4" s="18" t="n">
        <v>0</v>
      </c>
      <c r="C4" s="18" t="n">
        <v>0</v>
      </c>
      <c r="D4" s="18" t="n">
        <v>0</v>
      </c>
      <c r="E4" s="18" t="n">
        <v>0</v>
      </c>
      <c r="F4" s="18" t="n">
        <v>0</v>
      </c>
      <c r="G4" s="18" t="n">
        <v>0</v>
      </c>
      <c r="H4" s="16"/>
    </row>
    <row r="5" spans="1:8">
      <c r="A5" s="12">
        <f>A4+1</f>
        <v>45995</v>
      </c>
      <c r="B5" s="18" t="n">
        <v>0</v>
      </c>
      <c r="C5" s="18" t="n">
        <v>0</v>
      </c>
      <c r="D5" s="18" t="n">
        <v>0</v>
      </c>
      <c r="E5" s="18" t="n">
        <v>0</v>
      </c>
      <c r="F5" s="18" t="n">
        <v>0</v>
      </c>
      <c r="G5" s="18" t="n">
        <v>0</v>
      </c>
      <c r="H5" s="16"/>
    </row>
    <row r="6" spans="1:8">
      <c r="A6" s="12">
        <f>A5+1</f>
        <v>45996</v>
      </c>
      <c r="B6" s="18" t="n">
        <v>0</v>
      </c>
      <c r="C6" s="18" t="n">
        <v>0</v>
      </c>
      <c r="D6" s="18" t="n">
        <v>0</v>
      </c>
      <c r="E6" s="18" t="n">
        <v>0</v>
      </c>
      <c r="F6" s="18" t="n">
        <v>0</v>
      </c>
      <c r="G6" s="18" t="n">
        <v>0</v>
      </c>
      <c r="H6" s="16"/>
    </row>
    <row r="7" spans="1:8">
      <c r="A7" s="12">
        <f>A6+1</f>
        <v>45997</v>
      </c>
      <c r="B7" s="18" t="n">
        <v>0</v>
      </c>
      <c r="C7" s="18" t="n">
        <v>0</v>
      </c>
      <c r="D7" s="18" t="n">
        <v>0</v>
      </c>
      <c r="E7" s="18" t="n">
        <v>0</v>
      </c>
      <c r="F7" s="18" t="n">
        <v>0</v>
      </c>
      <c r="G7" s="18" t="n">
        <v>0</v>
      </c>
      <c r="H7" s="16"/>
    </row>
    <row r="8" spans="1:8">
      <c r="A8" s="12">
        <f>A7+1</f>
        <v>45998</v>
      </c>
      <c r="B8" s="18" t="n">
        <v>0</v>
      </c>
      <c r="C8" s="18" t="n">
        <v>0</v>
      </c>
      <c r="D8" s="18" t="n">
        <v>0</v>
      </c>
      <c r="E8" s="18" t="n">
        <v>0</v>
      </c>
      <c r="F8" s="18" t="n">
        <v>0</v>
      </c>
      <c r="G8" s="18" t="n">
        <v>0</v>
      </c>
      <c r="H8" s="16"/>
    </row>
    <row r="9" spans="1:8">
      <c r="A9" s="12">
        <f>A8+1</f>
        <v>45999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6"/>
    </row>
    <row r="10" spans="1:8">
      <c r="A10" s="12">
        <f>A9+1</f>
        <v>46000</v>
      </c>
      <c r="B10" s="18" t="n">
        <v>0</v>
      </c>
      <c r="C10" s="18" t="n">
        <v>0</v>
      </c>
      <c r="D10" s="18" t="n">
        <v>0</v>
      </c>
      <c r="E10" s="18" t="n">
        <v>0</v>
      </c>
      <c r="F10" s="18" t="n">
        <v>0</v>
      </c>
      <c r="G10" s="18" t="n">
        <v>0</v>
      </c>
      <c r="H10" s="16"/>
    </row>
    <row r="11" spans="1:8">
      <c r="A11" s="12">
        <f>A10+1</f>
        <v>46001</v>
      </c>
      <c r="B11" s="18" t="n">
        <v>0</v>
      </c>
      <c r="C11" s="18" t="n"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6"/>
    </row>
    <row r="12" spans="1:8">
      <c r="A12" s="12">
        <f>A11+1</f>
        <v>46002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6"/>
    </row>
    <row r="13" spans="1:8">
      <c r="A13" s="12">
        <f>A12+1</f>
        <v>46003</v>
      </c>
      <c r="B13" s="18" t="n">
        <v>0</v>
      </c>
      <c r="C13" s="18" t="n">
        <v>0</v>
      </c>
      <c r="D13" s="18" t="n">
        <v>0</v>
      </c>
      <c r="E13" s="18" t="n">
        <v>0</v>
      </c>
      <c r="F13" s="18" t="n">
        <v>0</v>
      </c>
      <c r="G13" s="18" t="n">
        <v>0</v>
      </c>
      <c r="H13" s="16"/>
    </row>
    <row r="14" spans="1:8">
      <c r="A14" s="12">
        <f>A13+1</f>
        <v>46004</v>
      </c>
      <c r="B14" s="18" t="n">
        <v>0</v>
      </c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6"/>
    </row>
    <row r="15" spans="1:8">
      <c r="A15" s="12">
        <f>A14+1</f>
        <v>46005</v>
      </c>
      <c r="B15" s="18" t="n">
        <v>0</v>
      </c>
      <c r="C15" s="18" t="n">
        <v>0</v>
      </c>
      <c r="D15" s="18" t="n">
        <v>0</v>
      </c>
      <c r="E15" s="18" t="n">
        <v>0</v>
      </c>
      <c r="F15" s="18" t="n">
        <v>0</v>
      </c>
      <c r="G15" s="18" t="n">
        <v>0</v>
      </c>
      <c r="H15" s="16"/>
    </row>
    <row r="16" spans="1:8">
      <c r="A16" s="12">
        <f>A15+1</f>
        <v>46006</v>
      </c>
      <c r="B16" s="18" t="n"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6"/>
    </row>
    <row r="17" spans="1:8">
      <c r="A17" s="12">
        <f>A16+1</f>
        <v>46007</v>
      </c>
      <c r="B17" s="18" t="n">
        <v>0</v>
      </c>
      <c r="C17" s="18" t="n">
        <v>0</v>
      </c>
      <c r="D17" s="18" t="n">
        <v>0</v>
      </c>
      <c r="E17" s="18" t="n">
        <v>0</v>
      </c>
      <c r="F17" s="18" t="n">
        <v>0</v>
      </c>
      <c r="G17" s="18" t="n">
        <v>0</v>
      </c>
      <c r="H17" s="16"/>
    </row>
    <row r="18" spans="1:8">
      <c r="A18" s="12">
        <f>A17+1</f>
        <v>46008</v>
      </c>
      <c r="B18" s="18" t="n">
        <v>0</v>
      </c>
      <c r="C18" s="18" t="n">
        <v>0</v>
      </c>
      <c r="D18" s="18" t="n">
        <v>0</v>
      </c>
      <c r="E18" s="18" t="n">
        <v>0</v>
      </c>
      <c r="F18" s="18" t="n">
        <v>0</v>
      </c>
      <c r="G18" s="18" t="n">
        <v>0</v>
      </c>
      <c r="H18" s="16"/>
    </row>
    <row r="19" spans="1:8">
      <c r="A19" s="12">
        <f>A18+1</f>
        <v>46009</v>
      </c>
      <c r="B19" s="18" t="n">
        <v>0</v>
      </c>
      <c r="C19" s="18" t="n">
        <v>0</v>
      </c>
      <c r="D19" s="18" t="n">
        <v>0</v>
      </c>
      <c r="E19" s="18" t="n">
        <v>0</v>
      </c>
      <c r="F19" s="18" t="n">
        <v>0</v>
      </c>
      <c r="G19" s="18" t="n">
        <v>0</v>
      </c>
      <c r="H19" s="16"/>
    </row>
    <row r="20" spans="1:8">
      <c r="A20" s="12">
        <f>A19+1</f>
        <v>46010</v>
      </c>
      <c r="B20" s="18" t="n"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6"/>
    </row>
    <row r="21" spans="1:8">
      <c r="A21" s="12">
        <f>A20+1</f>
        <v>46011</v>
      </c>
      <c r="B21" s="18" t="n">
        <v>0</v>
      </c>
      <c r="C21" s="18" t="n">
        <v>0</v>
      </c>
      <c r="D21" s="18" t="n">
        <v>0</v>
      </c>
      <c r="E21" s="18" t="n">
        <v>0</v>
      </c>
      <c r="F21" s="18" t="n">
        <v>0</v>
      </c>
      <c r="G21" s="18" t="n">
        <v>0</v>
      </c>
      <c r="H21" s="16"/>
    </row>
    <row r="22" spans="1:8">
      <c r="A22" s="12">
        <f>A21+1</f>
        <v>46012</v>
      </c>
      <c r="B22" s="18" t="n">
        <v>0</v>
      </c>
      <c r="C22" s="18" t="n">
        <v>0</v>
      </c>
      <c r="D22" s="18" t="n">
        <v>0</v>
      </c>
      <c r="E22" s="18" t="n">
        <v>0</v>
      </c>
      <c r="F22" s="18" t="n">
        <v>0</v>
      </c>
      <c r="G22" s="18" t="n">
        <v>0</v>
      </c>
      <c r="H22" s="16"/>
    </row>
    <row r="23" spans="1:8">
      <c r="A23" s="12">
        <f>A22+1</f>
        <v>46013</v>
      </c>
      <c r="B23" s="18" t="n">
        <v>0</v>
      </c>
      <c r="C23" s="18" t="n">
        <v>0</v>
      </c>
      <c r="D23" s="18" t="n">
        <v>0</v>
      </c>
      <c r="E23" s="18" t="n">
        <v>0</v>
      </c>
      <c r="F23" s="18" t="n">
        <v>0</v>
      </c>
      <c r="G23" s="18" t="n">
        <v>0</v>
      </c>
      <c r="H23" s="16"/>
    </row>
    <row r="24" spans="1:8">
      <c r="A24" s="12">
        <f>A23+1</f>
        <v>46014</v>
      </c>
      <c r="B24" s="18" t="n">
        <v>0</v>
      </c>
      <c r="C24" s="18" t="n">
        <v>0</v>
      </c>
      <c r="D24" s="18" t="n">
        <v>0</v>
      </c>
      <c r="E24" s="18" t="n">
        <v>0</v>
      </c>
      <c r="F24" s="18" t="n">
        <v>0</v>
      </c>
      <c r="G24" s="18" t="n">
        <v>0</v>
      </c>
      <c r="H24" s="16"/>
    </row>
    <row r="25" spans="1:8">
      <c r="A25" s="12">
        <f>A24+1</f>
        <v>46015</v>
      </c>
      <c r="B25" s="18" t="n">
        <v>0</v>
      </c>
      <c r="C25" s="18" t="n">
        <v>0</v>
      </c>
      <c r="D25" s="18" t="n">
        <v>0</v>
      </c>
      <c r="E25" s="18" t="n">
        <v>0</v>
      </c>
      <c r="F25" s="18" t="n">
        <v>0</v>
      </c>
      <c r="G25" s="18" t="n">
        <v>0</v>
      </c>
      <c r="H25" s="16"/>
    </row>
    <row r="26" spans="1:8">
      <c r="A26" s="12">
        <f>A25+1</f>
        <v>46016</v>
      </c>
      <c r="B26" s="18" t="n">
        <v>0</v>
      </c>
      <c r="C26" s="18" t="n">
        <v>0</v>
      </c>
      <c r="D26" s="18" t="n">
        <v>0</v>
      </c>
      <c r="E26" s="18" t="n">
        <v>0</v>
      </c>
      <c r="F26" s="18" t="n">
        <v>0</v>
      </c>
      <c r="G26" s="18" t="n">
        <v>0</v>
      </c>
      <c r="H26" s="16"/>
    </row>
    <row r="27" spans="1:8">
      <c r="A27" s="12">
        <f>A26+1</f>
        <v>46017</v>
      </c>
      <c r="B27" s="18" t="n">
        <v>0</v>
      </c>
      <c r="C27" s="18" t="n">
        <v>0</v>
      </c>
      <c r="D27" s="18" t="n">
        <v>0</v>
      </c>
      <c r="E27" s="18" t="n">
        <v>0</v>
      </c>
      <c r="F27" s="18" t="n">
        <v>0</v>
      </c>
      <c r="G27" s="18" t="n">
        <v>0</v>
      </c>
      <c r="H27" s="16"/>
    </row>
    <row r="28" spans="1:8">
      <c r="A28" s="12">
        <f>A27+1</f>
        <v>46018</v>
      </c>
      <c r="B28" s="18" t="n">
        <v>0</v>
      </c>
      <c r="C28" s="18" t="n">
        <v>0</v>
      </c>
      <c r="D28" s="18" t="n">
        <v>0</v>
      </c>
      <c r="E28" s="18" t="n">
        <v>0</v>
      </c>
      <c r="F28" s="18" t="n">
        <v>0</v>
      </c>
      <c r="G28" s="18" t="n">
        <v>0</v>
      </c>
      <c r="H28" s="16"/>
    </row>
    <row r="29" spans="1:8">
      <c r="A29" s="12">
        <f>A28+1</f>
        <v>46019</v>
      </c>
      <c r="B29" s="18" t="n">
        <v>0</v>
      </c>
      <c r="C29" s="18" t="n">
        <v>0</v>
      </c>
      <c r="D29" s="18" t="n">
        <v>0</v>
      </c>
      <c r="E29" s="18" t="n">
        <v>0</v>
      </c>
      <c r="F29" s="18" t="n">
        <v>0</v>
      </c>
      <c r="G29" s="18" t="n">
        <v>0</v>
      </c>
      <c r="H29" s="16"/>
    </row>
    <row r="30" spans="1:8">
      <c r="A30" s="12">
        <f>A29+1</f>
        <v>46020</v>
      </c>
      <c r="B30" s="18" t="n">
        <v>0</v>
      </c>
      <c r="C30" s="18" t="n">
        <v>0</v>
      </c>
      <c r="D30" s="18" t="n">
        <v>0</v>
      </c>
      <c r="E30" s="18" t="n">
        <v>0</v>
      </c>
      <c r="F30" s="18" t="n">
        <v>0</v>
      </c>
      <c r="G30" s="18" t="n">
        <v>0</v>
      </c>
      <c r="H30" s="16"/>
    </row>
    <row r="31" spans="1:8">
      <c r="A31" s="12">
        <f>A30+1</f>
        <v>46021</v>
      </c>
      <c r="B31" s="18" t="n">
        <v>0</v>
      </c>
      <c r="C31" s="18" t="n">
        <v>0</v>
      </c>
      <c r="D31" s="18" t="n">
        <v>0</v>
      </c>
      <c r="E31" s="18" t="n">
        <v>0</v>
      </c>
      <c r="F31" s="18" t="n">
        <v>0</v>
      </c>
      <c r="G31" s="18" t="n">
        <v>0</v>
      </c>
      <c r="H31" s="16"/>
    </row>
    <row r="32" spans="1:8">
      <c r="A32" s="12">
        <f>A31+1</f>
        <v>46022</v>
      </c>
      <c r="B32" s="18" t="n">
        <v>0</v>
      </c>
      <c r="C32" s="18" t="n">
        <v>0</v>
      </c>
      <c r="D32" s="18" t="n">
        <v>0</v>
      </c>
      <c r="E32" s="18" t="n">
        <v>0</v>
      </c>
      <c r="F32" s="18" t="n">
        <v>0</v>
      </c>
      <c r="G32" s="18" t="n">
        <v>0</v>
      </c>
      <c r="H32" s="16"/>
    </row>
    <row r="33" spans="1:8">
      <c r="A33" s="28" t="s">
        <v>52</v>
      </c>
      <c r="B33" s="18">
        <f>SUBTOTAL(101,Tabelle12[[Sys]])</f>
        <v>0</v>
      </c>
      <c r="C33" s="18">
        <f>SUBTOTAL(101,Tabelle12[[Dia]])</f>
        <v>0</v>
      </c>
      <c r="D33" s="18">
        <f>SUBTOTAL(101,Tabelle12[[Puls]])</f>
        <v>0</v>
      </c>
      <c r="E33" s="18">
        <f>SUBTOTAL(101,Tabelle12[[Sys*]])</f>
        <v>0</v>
      </c>
      <c r="F33" s="18">
        <f>SUBTOTAL(101,Tabelle12[[Dia*]])</f>
        <v>0</v>
      </c>
      <c r="G33" s="18">
        <f>SUBTOTAL(101,Tabelle12[[Puls*]])</f>
        <v>0</v>
      </c>
      <c r="H33" s="29"/>
    </row>
    <row r="34" spans="1:8">
      <c r="A34"/>
      <c r="B34"/>
      <c r="C34"/>
      <c r="D34"/>
      <c r="E34"/>
      <c r="F34"/>
      <c r="G34"/>
      <c r="H34"/>
    </row>
  </sheetData>
  <sheetProtection sheet="1" autoFilter="0"/>
  <conditionalFormatting sqref="G2:G33">
    <cfRule type="cellIs" dxfId="225" priority="1" operator="greaterThanOrEqual">
      <formula>Werte!$B$4</formula>
    </cfRule>
  </conditionalFormatting>
  <conditionalFormatting sqref="D2:D33">
    <cfRule type="cellIs" dxfId="226" priority="2" operator="greaterThanOrEqual">
      <formula>Werte!$B$4</formula>
    </cfRule>
  </conditionalFormatting>
  <conditionalFormatting sqref="F2:F33">
    <cfRule type="cellIs" dxfId="227" priority="3" operator="between">
      <formula>Werte!$D$3</formula>
      <formula>Werte!$E$3</formula>
    </cfRule>
  </conditionalFormatting>
  <conditionalFormatting sqref="F2:F33">
    <cfRule type="cellIs" dxfId="228" priority="4" operator="lessThanOrEqual">
      <formula>Werte!$C$3</formula>
    </cfRule>
  </conditionalFormatting>
  <conditionalFormatting sqref="F2:F33">
    <cfRule type="cellIs" dxfId="229" priority="5" operator="greaterThanOrEqual">
      <formula>Werte!$F$3</formula>
    </cfRule>
  </conditionalFormatting>
  <conditionalFormatting sqref="C2:C33">
    <cfRule type="cellIs" dxfId="230" priority="6" operator="between">
      <formula>Werte!$D$3</formula>
      <formula>Werte!$E$3</formula>
    </cfRule>
  </conditionalFormatting>
  <conditionalFormatting sqref="C2:C33">
    <cfRule type="cellIs" dxfId="231" priority="7" operator="lessThanOrEqual">
      <formula>Werte!$C$3</formula>
    </cfRule>
  </conditionalFormatting>
  <conditionalFormatting sqref="C2:C33">
    <cfRule type="cellIs" dxfId="232" priority="8" operator="greaterThanOrEqual">
      <formula>Werte!$F$3</formula>
    </cfRule>
  </conditionalFormatting>
  <conditionalFormatting sqref="E2:E33">
    <cfRule type="cellIs" dxfId="233" priority="9" operator="between">
      <formula>Werte!$D$2</formula>
      <formula>Werte!$E$2</formula>
    </cfRule>
  </conditionalFormatting>
  <conditionalFormatting sqref="E2:E33">
    <cfRule type="cellIs" dxfId="234" priority="10" operator="lessThanOrEqual">
      <formula>Werte!$C$2</formula>
    </cfRule>
  </conditionalFormatting>
  <conditionalFormatting sqref="E2:E33">
    <cfRule type="cellIs" dxfId="235" priority="11" operator="greaterThanOrEqual">
      <formula>Werte!$F$2</formula>
    </cfRule>
  </conditionalFormatting>
  <conditionalFormatting sqref="B2:B33">
    <cfRule type="cellIs" dxfId="236" priority="12" operator="between">
      <formula>Werte!$D$2</formula>
      <formula>Werte!$E$2</formula>
    </cfRule>
  </conditionalFormatting>
  <conditionalFormatting sqref="B2:B33">
    <cfRule type="cellIs" dxfId="237" priority="13" operator="lessThanOrEqual">
      <formula>Werte!$C$2</formula>
    </cfRule>
  </conditionalFormatting>
  <conditionalFormatting sqref="B2:B33">
    <cfRule type="cellIs" dxfId="238" priority="14" operator="greaterThanOrEqual">
      <formula>Werte!$F$2</formula>
    </cfRule>
  </conditionalFormatting>
  <conditionalFormatting sqref="A2:A32">
    <cfRule type="cellIs" dxfId="239" priority="15" operator="equal">
      <formula>Werte!$K$13</formula>
    </cfRule>
  </conditionalFormatting>
  <conditionalFormatting sqref="A2:A32">
    <cfRule type="cellIs" dxfId="240" priority="16" operator="equal">
      <formula>Werte!$K$12</formula>
    </cfRule>
  </conditionalFormatting>
  <conditionalFormatting sqref="A2:A32">
    <cfRule type="expression" dxfId="241" priority="17">
      <formula>WEEKDAY($A2,2)&gt;=6</formula>
    </cfRule>
  </conditionalFormatting>
  <dataValidations count="1">
    <dataValidation sqref="H2:H32" type="list" operator="between" errorStyle="stop" showInputMessage="1" showErrorMessage="1" view="1024">
      <formula1>Werte!$A$7:$A$10</formula1>
    </dataValidation>
  </dataValidations>
  <printOptions>
    <extLst>
      <ext uri="smNativeData">
        <pm:pageFlags xmlns:pm="smNativeData" id="1751036389" printRowHead="0" printColHead="0" printHeadLine="0" printFootLine="0" autoHeightHeader="0" autoHeightFooter="0" fitToPageBoth="0"/>
      </ext>
    </extLst>
  </printOptions>
  <pageMargins left="0.252083" right="0.252083" top="0.752083" bottom="0.752083" header="0.299306" footer="0.299306"/>
  <pageSetup paperSize="9" fitToWidth="0" fitToHeight="1" pageOrder="overThenDown" orientation="landscape"/>
  <headerFooter>
    <extLst>
      <ext uri="smNativeData">
        <pm:header xmlns:pm="smNativeData" id="1751036389" l="56" r="56" t="56" b="56" borderId="0" fillId="0" vertical="0"/>
        <pm:footer xmlns:pm="smNativeData" id="1751036389" l="56" r="56" t="56" b="56" borderId="0" fillId="0" vertical="2"/>
        <pm:paperBin xmlns:pm="smNativeData" id="1751036389" Id="0" type="0" value="0"/>
        <pm:paperBin xmlns:pm="smNativeData" id="1751036389" Id="1" type="0" value="0"/>
      </ext>
    </extLst>
  </headerFooter>
  <drawing r:id="rId1"/>
  <tableParts count="1">
    <tablePart r:id="rId2"/>
  </tableParts>
  <extLst>
    <ext uri="smNativeData">
      <pm:sheetPrefs xmlns:pm="smNativeData" day="17510363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mkmin</cp:lastModifiedBy>
  <cp:revision>0</cp:revision>
  <dcterms:created xsi:type="dcterms:W3CDTF">2025-06-27T14:53:09Z</dcterms:created>
  <dcterms:modified xsi:type="dcterms:W3CDTF">2025-06-27T14:59:49Z</dcterms:modified>
</cp:coreProperties>
</file>