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lmut"/>
  <workbookPr/>
  <bookViews>
    <workbookView activeTab="1" xWindow="240" yWindow="60" windowWidth="0" windowHeight="0" tabRatio="500"/>
  </bookViews>
  <sheets>
    <sheet name="Tabelle1" sheetId="1" r:id="rId5"/>
    <sheet name="Feiertagsberechnung" sheetId="2" r:id="rId6"/>
  </sheets>
  <externalReferences>
    <externalReference r:id="rId4"/>
  </externalReferences>
  <calcPr/>
  <extLst>
    <ext uri="smNativeData">
      <pm:revision xmlns:pm="smNativeData" day="1668724707" val="1058" rev="124" rev64="64" revOS="4" revMin="124" revMax="0"/>
      <pm:docPrefs xmlns:pm="smNativeData" id="1668724707" fixedDigits="0" showNotice="1" showProtection="1" showFrameBounds="1" autoChart="1" recalcOnPrint="1" recalcOnCopy="1" tab="567" useDefinedPrintRange="1" printArea="currentSheet"/>
      <pm:compatibility xmlns:pm="smNativeData" id="1668724707"/>
      <pm:defCurrency xmlns:pm="smNativeData" id="1668724707"/>
    </ext>
  </extLst>
</workbook>
</file>

<file path=xl/sharedStrings.xml><?xml version="1.0" encoding="utf-8"?>
<sst xmlns="http://schemas.openxmlformats.org/spreadsheetml/2006/main" count="76" uniqueCount="71">
  <si>
    <t>Feiertagsberechnung für das Jahr:</t>
  </si>
  <si>
    <t>Anmerkung:</t>
  </si>
  <si>
    <t>ACHTUNG !!!</t>
  </si>
  <si>
    <t xml:space="preserve">Die Funktionen dieser Seite sind in Excel nicht vorhanden. </t>
  </si>
  <si>
    <t>Feste Feiertage:</t>
  </si>
  <si>
    <t xml:space="preserve">Wenn Sie dieses PM Dokument im Excel-Format speichern, </t>
  </si>
  <si>
    <t>Wochentag in</t>
  </si>
  <si>
    <t>immer am</t>
  </si>
  <si>
    <t>werden alle Berechnungen der kompletten Datei, die auf diese Funktionen zurückgreifen,</t>
  </si>
  <si>
    <t>diesem Jahr</t>
  </si>
  <si>
    <t>durch ihr aktuelles Ergebnis als fester Wert ersetzt.</t>
  </si>
  <si>
    <t xml:space="preserve">wodurch die gesamten automatisierten "Feiertagsmarkierungen" </t>
  </si>
  <si>
    <t>Neujahrstag</t>
  </si>
  <si>
    <t xml:space="preserve">welche zur Feiertagsstunden Berechnung herangezogen werden </t>
  </si>
  <si>
    <t>Hl.Drei könige</t>
  </si>
  <si>
    <t>sowie die "Nettoarbeitstage" Berechnungen zerstört werden.</t>
  </si>
  <si>
    <t>1.Mai / Tag der Arbeit</t>
  </si>
  <si>
    <t>Mariä Himmelfahrt</t>
  </si>
  <si>
    <t>Tad der Deutschen Einheit</t>
  </si>
  <si>
    <t>Allerheiligen</t>
  </si>
  <si>
    <t>1.Weihnachtstag</t>
  </si>
  <si>
    <t>2.Weihnachtstag</t>
  </si>
  <si>
    <t>Bewegliche Feiertage:</t>
  </si>
  <si>
    <t>Karfreitag</t>
  </si>
  <si>
    <t>immer ein Freitag!</t>
  </si>
  <si>
    <t>Die Ostertage fallen nicht grundsätzlich auf das gleiche Datum. Ihr Termin ist flexibel und wird auf den Sonntag gelegt,</t>
  </si>
  <si>
    <t>Ostersonntag (kein FT in Bayern)</t>
  </si>
  <si>
    <t>immer ein Sonntag!</t>
  </si>
  <si>
    <t xml:space="preserve">der dem ersten Frühjahrs-Vollmond folgt. Damit findet Ostern zwischen späte Mitte März und Ende April statt. </t>
  </si>
  <si>
    <t>Ostermontag</t>
  </si>
  <si>
    <t>immer ein Montag!</t>
  </si>
  <si>
    <t>Für die Programmierung dieser Tabelle kann Karfreitag also jeder FREITAG zwischen dem 25.3 und dem 19.4 sein UND Ostermontag zwischen dem 27.3 und dem 21.4 sein</t>
  </si>
  <si>
    <t>Christi Himmelfahrt</t>
  </si>
  <si>
    <t>immer ein Donnerstag!</t>
  </si>
  <si>
    <t>39 Tage nach Ostersonntag</t>
  </si>
  <si>
    <t>Für die Programmierung dieser Tabelle kann Chr.Himmelfahrt also jeder DONNERSTAG zwischen dem 5.5 und dem 30.5 sein</t>
  </si>
  <si>
    <t>Pfingstsonntag (kein FT in Bayern)</t>
  </si>
  <si>
    <t xml:space="preserve"> immer am fünfzigsten Tag nach Ostern, wobei Ostersonntag historisch bedingt mitgezählt wird.</t>
  </si>
  <si>
    <t>Pfingstmontag</t>
  </si>
  <si>
    <t>Für die Programmierung dieser Tabelle kann Pfingst Mo. also jeder MONTAG zwischen dem 16.5 und dem 10.6 sein</t>
  </si>
  <si>
    <t>Fronleichnam</t>
  </si>
  <si>
    <t>fällt immer auf den zweiten Donnerstag nach Pfingsten--&gt;und ist somit auch wieder abhängig von Ostern</t>
  </si>
  <si>
    <t>Aschermittwoch (kein gesetzlicher FT)</t>
  </si>
  <si>
    <t>(Für die Programmierung dieser Tabelle kann Fronleichnam also jeder DONNERSTAG zwischen dem 26.5 und dem 20.6 sein)</t>
  </si>
  <si>
    <t>Buß- und Bettag (kein FT in Bayern)</t>
  </si>
  <si>
    <t>Erster Adventssonntag (kein FT in Bayern)</t>
  </si>
  <si>
    <r>
      <rPr>
        <color rgb="FFFF0000"/>
        <extLst>
          <ext uri="smNativeData">
            <pm:charSpec xmlns:pm="smNativeData" id="1668724707" fgClr="FF0000">
              <pm:latin/>
              <pm:cs/>
              <pm:ea/>
            </pm:charSpec>
          </ext>
        </extLst>
      </rPr>
      <t>Anmerkung</t>
    </r>
    <r>
      <t xml:space="preserve"> zur Berechnung der beweglichen Feiertage:</t>
    </r>
  </si>
  <si>
    <t>Diese Funktion ist in Excel nicht vorhanden.</t>
  </si>
  <si>
    <t xml:space="preserve"> Wenn Sie ein Dokument im Excel-Format speichern, </t>
  </si>
  <si>
    <t xml:space="preserve">werden alle Berechnungen, die diese Funktion enthalten, </t>
  </si>
  <si>
    <t>Nettoarbeitstag Berechnung</t>
  </si>
  <si>
    <t>programiert bis 2025</t>
  </si>
  <si>
    <t>Diese Datei arbeitet mit dem Jahr:</t>
  </si>
  <si>
    <t>Achtung:</t>
  </si>
  <si>
    <r>
      <t xml:space="preserve">Die Werte in dieser Matrix stimmen immer </t>
    </r>
    <r>
      <rPr>
        <b/>
        <extLst>
          <ext uri="smNativeData">
            <pm:charSpec xmlns:pm="smNativeData" id="1668724707">
              <pm:latin weight="bold"/>
              <pm:cs/>
              <pm:ea/>
            </pm:charSpec>
          </ext>
        </extLst>
      </rPr>
      <t>NUR</t>
    </r>
    <r>
      <t xml:space="preserve"> in </t>
    </r>
    <r>
      <rPr>
        <b/>
        <extLst>
          <ext uri="smNativeData">
            <pm:charSpec xmlns:pm="smNativeData" id="1668724707">
              <pm:latin weight="bold"/>
              <pm:cs/>
              <pm:ea/>
            </pm:charSpec>
          </ext>
        </extLst>
      </rPr>
      <t>DEM</t>
    </r>
    <r>
      <t xml:space="preserve"> Jahr welches oben unter: </t>
    </r>
    <r>
      <rPr>
        <b/>
        <i/>
        <extLst>
          <ext uri="smNativeData">
            <pm:charSpec xmlns:pm="smNativeData" id="1668724707">
              <pm:latin weight="bold" i="1"/>
              <pm:cs/>
              <pm:ea/>
            </pm:charSpec>
          </ext>
        </extLst>
      </rPr>
      <t>Feiertagsber.für das Jahr</t>
    </r>
    <r>
      <t xml:space="preserve"> X o. </t>
    </r>
  </si>
  <si>
    <r>
      <t xml:space="preserve">links unter: </t>
    </r>
    <r>
      <rPr>
        <b/>
        <i/>
        <extLst>
          <ext uri="smNativeData">
            <pm:charSpec xmlns:pm="smNativeData" id="1668724707">
              <pm:latin weight="bold" i="1"/>
              <pm:cs/>
              <pm:ea/>
            </pm:charSpec>
          </ext>
        </extLst>
      </rPr>
      <t xml:space="preserve">diese Datei arbeitet mit dem Jahr </t>
    </r>
    <r>
      <t>xxxx angezeigt wird</t>
    </r>
  </si>
  <si>
    <t>siehe unten!!!</t>
  </si>
  <si>
    <t xml:space="preserve"> Nettoarbeitstage Januar</t>
  </si>
  <si>
    <t xml:space="preserve"> Nettoarbeitstage Februar</t>
  </si>
  <si>
    <t xml:space="preserve"> Nettoarbeitstage März</t>
  </si>
  <si>
    <t xml:space="preserve"> Nettoarbeitstage April</t>
  </si>
  <si>
    <t xml:space="preserve"> Nettoarbeitstage Mai</t>
  </si>
  <si>
    <t xml:space="preserve"> Nettoarbeitstage Juni</t>
  </si>
  <si>
    <t xml:space="preserve"> Nettoarbeitstage Juli</t>
  </si>
  <si>
    <t xml:space="preserve"> Nettoarbeitstage August</t>
  </si>
  <si>
    <t xml:space="preserve"> Nettoarbeitstage September</t>
  </si>
  <si>
    <t xml:space="preserve"> Nettoarbeitstage Oktober</t>
  </si>
  <si>
    <t xml:space="preserve"> Nettoarbeitstage November</t>
  </si>
  <si>
    <t xml:space="preserve"> Nettoarbeitstage Dezember</t>
  </si>
  <si>
    <r>
      <t xml:space="preserve">Wenn die Formel nicht zu dem </t>
    </r>
    <r>
      <rPr>
        <i/>
        <extLst>
          <ext uri="smNativeData">
            <pm:charSpec xmlns:pm="smNativeData" id="1668724707">
              <pm:latin i="1"/>
              <pm:cs/>
              <pm:ea/>
            </pm:charSpec>
          </ext>
        </extLst>
      </rPr>
      <t>"angezeigtem"</t>
    </r>
    <r>
      <t xml:space="preserve"> Arbeitsjahr passt, werden </t>
    </r>
    <r>
      <rPr>
        <b/>
        <extLst>
          <ext uri="smNativeData">
            <pm:charSpec xmlns:pm="smNativeData" id="1668724707">
              <pm:latin weight="bold"/>
              <pm:cs/>
              <pm:ea/>
            </pm:charSpec>
          </ext>
        </extLst>
      </rPr>
      <t>NUR</t>
    </r>
    <r>
      <t xml:space="preserve"> die reinen Nettoarbeitstage ausgegeben</t>
    </r>
  </si>
  <si>
    <t>ohne die Feiertage abzuziehen  -  Beispiel: im Januar 2014 kann ich nicht die Feiertage für den Januar 2013 abziehen lassen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</si>
</sst>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YYYY"/>
    <numFmt numFmtId="165" formatCode="DDDD"/>
    <numFmt numFmtId="14" formatCode="DD/MM/YYYY"/>
  </numFmts>
  <fonts count="9">
    <font>
      <name val="Arial"/>
      <family val="2"/>
      <color rgb="FF000000"/>
      <sz val="10"/>
      <extLst>
        <ext uri="smNativeData">
          <pm:charSpec xmlns:pm="smNativeData" id="166872470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extLst>
        <ext uri="smNativeData">
          <pm:charSpec xmlns:pm="smNativeData" id="1668724707" fgClr="0000FF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0000"/>
      <sz val="10"/>
      <extLst>
        <ext uri="smNativeData">
          <pm:charSpec xmlns:pm="smNativeData" id="1668724707" fgClr="FF0000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68724707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0000"/>
      <sz val="10"/>
      <extLst>
        <ext uri="smNativeData">
          <pm:charSpec xmlns:pm="smNativeData" id="1668724707" fgClr="FF0000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FF"/>
      <sz val="10"/>
      <extLst>
        <ext uri="smNativeData">
          <pm:charSpec xmlns:pm="smNativeData" id="1668724707" fgClr="0000FF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724707" ulstyle="none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668724707" ulstyle="none">
            <pm:latin face="Arial" sz="200" lang="default" weight="bold" i="1"/>
            <pm:cs face="Times New Roman" sz="200" lang="default"/>
            <pm:ea face="SimSun" sz="200" lang="default"/>
          </pm:charSpec>
        </ext>
      </extLst>
    </font>
    <font>
      <name val="Arial"/>
      <family val="2"/>
      <i/>
      <color rgb="FF000000"/>
      <sz val="10"/>
      <extLst>
        <ext uri="smNativeData">
          <pm:charSpec xmlns:pm="smNativeData" id="1668724707" ulstyle="none">
            <pm:latin face="Arial" sz="200" lang="default" i="1"/>
            <pm:cs face="Times New Roman" sz="200" lang="default"/>
            <pm:ea face="SimSun" sz="200" lang="default"/>
          </pm:charSpec>
        </ext>
      </extLst>
    </font>
  </fonts>
  <fills count="3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BFBF"/>
        <bgColor rgb="FFFFFFFF"/>
        <extLst>
          <ext uri="smNativeData">
            <pm:shade xmlns:pm="smNativeData" id="1668724707" type="1" fgLvl="25" fgClr="00000000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24707"/>
        </ext>
      </extLst>
    </border>
    <border>
      <left style="double">
        <color rgb="FF000000"/>
      </left>
      <right style="non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668724707">
            <pm:line position="top" type="2" style="0" width="20" dist="20" width2="20" rgb="000000"/>
            <pm:line position="bottom" type="2" style="0" width="20" dist="20" width2="20" rgb="000000"/>
            <pm:line position="left" type="2" style="0" width="20" dist="20" width2="20" rgb="000000"/>
          </pm:border>
        </ext>
      </extLst>
    </border>
    <border>
      <left style="non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668724707">
            <pm:line position="top" type="2" style="0" width="20" dist="20" width2="20" rgb="000000"/>
            <pm:line position="bottom" type="2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24707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24707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24707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24707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4D4D4D"/>
      </bottom>
      <extLst>
        <ext uri="smNativeData">
          <pm:border xmlns:pm="smNativeData" id="1668724707">
            <pm:line position="top" type="1" style="0" width="20" dist="20" width2="20" rgb="000000"/>
            <pm:line position="bottom" type="1" style="0" width="2" dist="20" width2="20" rgb="4D4D4D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hair">
        <color rgb="FF4D4D4D"/>
      </top>
      <bottom style="hair">
        <color rgb="FF4D4D4D"/>
      </bottom>
      <extLst>
        <ext uri="smNativeData">
          <pm:border xmlns:pm="smNativeData" id="1668724707">
            <pm:line position="top" type="1" style="0" width="2" dist="20" width2="20" rgb="4D4D4D"/>
            <pm:line position="bottom" type="1" style="0" width="2" dist="20" width2="20" rgb="4D4D4D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hair">
        <color rgb="FF4D4D4D"/>
      </top>
      <bottom style="thin">
        <color rgb="FF000000"/>
      </bottom>
      <extLst>
        <ext uri="smNativeData">
          <pm:border xmlns:pm="smNativeData" id="1668724707">
            <pm:line position="top" type="1" style="0" width="2" dist="20" width2="20" rgb="4D4D4D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24707"/>
        </ext>
      </extLst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668724707">
            <pm:line position="top" type="2" style="0" width="20" dist="20" width2="20" rgb="000000"/>
            <pm:line position="bottom" type="2" style="0" width="20" dist="20" width2="20" rgb="000000"/>
            <pm:line position="left" type="2" style="0" width="20" dist="20" width2="20" rgb="000000"/>
            <pm:line position="right" type="2" style="0" width="20" dist="20" width2="20" rgb="000000"/>
          </pm:border>
        </ext>
      </extLst>
    </border>
    <border>
      <left style="double">
        <color rgb="FFFF0000"/>
      </left>
      <right style="thin">
        <color rgb="FFFF0000"/>
      </right>
      <top style="double">
        <color rgb="FFFF0000"/>
      </top>
      <bottom style="double">
        <color rgb="FFFF0000"/>
      </bottom>
      <extLst>
        <ext uri="smNativeData">
          <pm:border xmlns:pm="smNativeData" id="1668724707">
            <pm:line position="top" type="2" style="0" width="20" dist="20" width2="20" rgb="FF0000"/>
            <pm:line position="bottom" type="2" style="0" width="20" dist="20" width2="20" rgb="FF0000"/>
            <pm:line position="left" type="2" style="0" width="20" dist="20" width2="20" rgb="FF0000"/>
            <pm:line position="right" type="1" style="0" width="20" dist="20" width2="20" rgb="FF0000"/>
          </pm:border>
        </ext>
      </extLst>
    </border>
    <border>
      <left style="thin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extLst>
        <ext uri="smNativeData">
          <pm:border xmlns:pm="smNativeData" id="1668724707">
            <pm:line position="top" type="2" style="0" width="20" dist="20" width2="20" rgb="FF0000"/>
            <pm:line position="bottom" type="2" style="0" width="20" dist="20" width2="20" rgb="FF0000"/>
            <pm:line position="left" type="1" style="0" width="20" dist="20" width2="20" rgb="FF0000"/>
            <pm:line position="right" type="2" style="0" width="20" dist="20" width2="20" rgb="FF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68724707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68724707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68724707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FF0000"/>
      </left>
      <right style="thin">
        <color rgb="FFFF0000"/>
      </right>
      <top style="none">
        <color rgb="FF000000"/>
      </top>
      <bottom style="none">
        <color rgb="FF000000"/>
      </bottom>
      <extLst>
        <ext uri="smNativeData">
          <pm:border xmlns:pm="smNativeData" id="1668724707">
            <pm:line position="left" type="1" style="0" width="20" dist="20" width2="20" rgb="FF0000"/>
            <pm:line position="right" type="1" style="0" width="20" dist="20" width2="20" rgb="FF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24707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24707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68724707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68724707">
            <pm:line position="top" type="1" style="0" width="30" dist="20" width2="20" rgb="000000"/>
            <pm:line position="bottom" type="1" style="0" width="3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68724707">
            <pm:line position="top" type="1" style="0" width="30" dist="20" width2="20" rgb="000000"/>
            <pm:line position="bottom" type="1" style="0" width="30" dist="20" width2="20" rgb="000000"/>
            <pm:line position="left" type="1" style="0" width="1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24707">
            <pm:line position="bottom" type="1" style="0" width="10" dist="20" width2="20" rgb="000000"/>
            <pm:line position="left" type="1" style="0" width="3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24707"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24707">
            <pm:line position="bottom" type="1" style="0" width="10" dist="20" width2="20" rgb="000000"/>
            <pm:line position="left" type="1" style="0" width="1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24707">
            <pm:line position="top" type="1" style="0" width="10" dist="20" width2="20" rgb="000000"/>
            <pm:line position="bottom" type="1" style="0" width="10" dist="20" width2="20" rgb="000000"/>
            <pm:line position="left" type="1" style="0" width="3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24707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24707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30" dist="20" width2="20" rgb="000000"/>
          </pm:border>
        </ext>
      </extLst>
    </border>
    <border>
      <left style="thin">
        <color rgb="FFFF0000"/>
      </left>
      <right style="thin">
        <color rgb="FFFF0000"/>
      </right>
      <top style="none">
        <color rgb="FF000000"/>
      </top>
      <bottom style="thin">
        <color rgb="FFFF0000"/>
      </bottom>
      <extLst>
        <ext uri="smNativeData">
          <pm:border xmlns:pm="smNativeData" id="1668724707">
            <pm:line position="bottom" type="1" style="0" width="20" dist="20" width2="20" rgb="FF0000"/>
            <pm:line position="left" type="1" style="0" width="20" dist="20" width2="20" rgb="FF0000"/>
            <pm:line position="right" type="1" style="0" width="20" dist="20" width2="20" rgb="FF0000"/>
          </pm:border>
        </ext>
      </extLst>
    </border>
    <border>
      <left style="medium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24707">
            <pm:line position="top" type="1" style="0" width="1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24707">
            <pm:line position="top" type="1" style="0" width="1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24707">
            <pm:line position="top" type="1" style="0" width="1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68724707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68724707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68724707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5">
    <xf numFmtId="0" fontId="0" fillId="0" borderId="0" xfId="0"/>
    <xf numFmtId="0" fontId="1" fillId="0" borderId="1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164" fontId="3" fillId="0" borderId="0" xfId="0" applyNumberFormat="1" applyFont="1"/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165" fontId="1" fillId="0" borderId="8" xfId="0" applyNumberFormat="1" applyFont="1" applyFill="1" applyBorder="1"/>
    <xf numFmtId="14" fontId="3" fillId="0" borderId="8" xfId="0" applyNumberFormat="1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165" fontId="1" fillId="0" borderId="9" xfId="0" applyNumberFormat="1" applyFont="1" applyFill="1" applyBorder="1"/>
    <xf numFmtId="14" fontId="3" fillId="0" borderId="9" xfId="0" applyNumberFormat="1" applyFont="1" applyFill="1" applyBorder="1"/>
    <xf numFmtId="165" fontId="3" fillId="0" borderId="0" xfId="0" applyNumberFormat="1" applyFont="1"/>
    <xf numFmtId="14" fontId="1" fillId="0" borderId="0" xfId="0" applyNumberFormat="1" applyFont="1"/>
    <xf numFmtId="0" fontId="4" fillId="11" borderId="10" xfId="0" applyFont="1" applyFill="1"/>
    <xf numFmtId="165" fontId="4" fillId="11" borderId="10" xfId="0" applyNumberFormat="1" applyFont="1" applyFill="1"/>
    <xf numFmtId="14" fontId="4" fillId="11" borderId="10" xfId="0" applyNumberFormat="1" applyFont="1" applyFill="1"/>
    <xf numFmtId="0" fontId="3" fillId="11" borderId="10" xfId="0" applyFont="1" applyFill="1"/>
    <xf numFmtId="165" fontId="3" fillId="11" borderId="10" xfId="0" applyNumberFormat="1" applyFont="1" applyFill="1"/>
    <xf numFmtId="14" fontId="3" fillId="11" borderId="10" xfId="0" applyNumberFormat="1" applyFont="1" applyFill="1"/>
    <xf numFmtId="0" fontId="5" fillId="0" borderId="11" xfId="0" applyFont="1" applyFill="1" applyBorder="1"/>
    <xf numFmtId="0" fontId="5" fillId="0" borderId="12" xfId="0" applyFont="1" applyFill="1" applyBorder="1"/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17" xfId="0" applyFont="1" applyFill="1" applyBorder="1"/>
    <xf numFmtId="0" fontId="3" fillId="0" borderId="18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19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32" xfId="0" applyFont="1" applyFill="1" applyBorder="1" applyAlignment="1">
      <alignment horizontal="left"/>
    </xf>
    <xf numFmtId="0" fontId="3" fillId="0" borderId="33" xfId="0" applyFont="1" applyFill="1" applyBorder="1" applyAlignment="1">
      <alignment horizontal="left"/>
    </xf>
    <xf numFmtId="0" fontId="3" fillId="0" borderId="34" xfId="0" applyFont="1" applyFill="1" applyBorder="1" applyAlignment="1">
      <alignment horizontal="left"/>
    </xf>
    <xf numFmtId="0" fontId="3" fillId="0" borderId="35" xfId="0" applyFont="1" applyFill="1" applyBorder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66872470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externalLinks/_rels/externalLink1.xml.rels><?xml version="1.0" encoding="UTF-8" standalone="yes" ?>
<Relationships xmlns="http://schemas.openxmlformats.org/package/2006/relationships"><Relationship Id="rId1" Type="http://schemas.openxmlformats.org/officeDocument/2006/relationships/externalLinkPath" Target="..\..\Saller-Monatsberichte\2015\Jahresbericht2015.pmd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i"/>
      <sheetName val="August"/>
      <sheetName val="September"/>
      <sheetName val="Oktober"/>
      <sheetName val="November"/>
      <sheetName val="Dezember"/>
      <sheetName val="Jahresstatistik"/>
      <sheetName val="Feiertagsberechnung"/>
    </sheetNames>
    <definedNames>
      <definedName name="_xlnm.Print_Area" refersTo="='Januar'!$A$6:$P$3427"/>
      <definedName name="Jahreswechsel" refersTo="='Januar'!$A$3424:$N$3431"/>
      <definedName name="Seitenauswahl" refersTo="='Januar'!$A$3433:$L$3463"/>
      <definedName name="CL220a1" refersTo="='Januar'!$CL$220"/>
      <definedName name="_xlnm.Print_Area" refersTo="='Januar'!$A$6:$P$185" sheetId="0"/>
      <definedName name="_xlnm.Print_Area" refersTo="='Februar'!$A$4:$P$219" sheetId="1"/>
      <definedName name="_xlnm.Print_Area" refersTo="='März'!$A$4:$P$219" sheetId="2"/>
      <definedName name="_xlnm.Print_Area" refersTo="='April'!$A$4:$P$219" sheetId="3"/>
      <definedName name="_xlnm.Print_Area" refersTo="='Mai'!$A$4:$P$219" sheetId="4"/>
      <definedName name="_xlnm.Print_Area" refersTo="='Juni'!$A$4:$P$219" sheetId="5"/>
      <definedName name="_xlnm.Print_Area" refersTo="='Juli'!$A$4:$P$219" sheetId="6"/>
      <definedName name="_xlnm.Print_Area" refersTo="='August'!$A$4:$P$219" sheetId="7"/>
      <definedName name="_xlnm.Print_Area" refersTo="='September'!$A$4:$P$219" sheetId="8"/>
      <definedName name="_xlnm.Print_Area" refersTo="='Oktober'!$A$4:$P$219" sheetId="9"/>
      <definedName name="_xlnm.Print_Area" refersTo="='November'!$A$4:$P$219" sheetId="10"/>
      <definedName name="_xlnm.Print_Area" refersTo="='Dezember'!$A$4:$P$219" sheetId="11"/>
      <definedName name="_xlnm.Print_Area" refersTo="='Jahresstatistik'!$A$1:$P$33" sheetId="12"/>
    </definedNames>
    <sheetDataSet>
      <sheetData sheetId="0">
        <row r="94">
          <cell r="A94">
            <v>42018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baseColWidth="9" defaultColWidth="10.000000" defaultRowHeight="13.45"/>
  <sheetData/>
  <printOptions>
    <extLst>
      <ext uri="smNativeData">
        <pm:pageFlags xmlns:pm="smNativeData" id="166872470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724707" l="56" r="56" t="56" b="56" borderId="0" fillId="0" vertical="0"/>
        <pm:footer xmlns:pm="smNativeData" id="1668724707" l="56" r="56" t="56" b="56" borderId="0" fillId="0" vertical="2"/>
        <pm:paperBin xmlns:pm="smNativeData" id="1668724707" Id="0" type="0" value="0"/>
        <pm:paperBin xmlns:pm="smNativeData" id="1668724707" Id="1" type="0" value="0"/>
      </ext>
    </extLst>
  </headerFooter>
  <extLst>
    <ext uri="smNativeData">
      <pm:sheetPrefs xmlns:pm="smNativeData" day="166872470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3:Q3398"/>
  <sheetViews>
    <sheetView tabSelected="1" view="normal" workbookViewId="0">
      <selection activeCell="M30" sqref="M30"/>
    </sheetView>
  </sheetViews>
  <sheetFormatPr baseColWidth="9" defaultColWidth="10.000000" defaultRowHeight="13.45"/>
  <cols>
    <col min="1" max="1" width="11.000000" customWidth="1"/>
    <col min="2" max="2" width="31.369369" customWidth="1"/>
    <col min="3" max="3" width="13.036036" customWidth="1"/>
    <col min="4" max="4" width="15.387387" customWidth="1"/>
    <col min="5" max="5" width="9.000000" customWidth="1"/>
    <col min="6" max="6" width="9.045045" customWidth="1"/>
    <col min="7" max="7" width="8.135135" customWidth="1"/>
    <col min="8" max="8" width="7.855856" customWidth="1"/>
    <col min="9" max="9" width="7.702703" customWidth="1"/>
    <col min="10" max="10" width="9.000000" customWidth="1"/>
    <col min="11" max="11" width="7.567568" customWidth="1"/>
    <col min="12" max="12" width="7.702703" customWidth="1"/>
    <col min="13" max="14" width="7.567568" customWidth="1"/>
    <col min="15" max="15" width="8.423423" customWidth="1"/>
    <col min="16" max="16" width="10.288288" customWidth="1"/>
    <col min="23" max="23" width="11.279279" customWidth="1"/>
  </cols>
  <sheetData>
    <row r="3" spans="2:6">
      <c r="B3" s="1" t="s">
        <v>0</v>
      </c>
      <c r="C3" s="2">
        <f>YEAR('[1]Januar'!A94)</f>
        <v>2015</v>
      </c>
      <c r="F3" s="3" t="s">
        <v>1</v>
      </c>
    </row>
    <row r="4" spans="6:7">
      <c r="F4" s="3" t="s">
        <v>2</v>
      </c>
      <c r="G4" s="3"/>
    </row>
    <row r="5" spans="6:6">
      <c r="F5" s="4" t="s">
        <v>3</v>
      </c>
    </row>
    <row r="6" spans="2:6">
      <c r="B6" s="5" t="s">
        <v>4</v>
      </c>
      <c r="C6" s="6"/>
      <c r="F6" s="4" t="s">
        <v>5</v>
      </c>
    </row>
    <row r="7" spans="3:6">
      <c r="C7" s="7" t="s">
        <v>6</v>
      </c>
      <c r="D7" s="8" t="s">
        <v>7</v>
      </c>
      <c r="F7" s="4" t="s">
        <v>8</v>
      </c>
    </row>
    <row r="8" spans="3:6">
      <c r="C8" s="9" t="s">
        <v>9</v>
      </c>
      <c r="D8" s="10"/>
      <c r="F8" s="4" t="s">
        <v>10</v>
      </c>
    </row>
    <row r="9" spans="3:6">
      <c r="C9" s="11"/>
      <c r="D9" s="12"/>
      <c r="F9" s="4" t="s">
        <v>11</v>
      </c>
    </row>
    <row r="10" spans="2:6">
      <c r="B10" s="13" t="s">
        <v>12</v>
      </c>
      <c r="C10" s="14">
        <f>DATE(C3,1,1)</f>
        <v>42005</v>
      </c>
      <c r="D10" s="15">
        <f>DATE(C3,1,1)</f>
        <v>42005</v>
      </c>
      <c r="F10" s="4" t="s">
        <v>13</v>
      </c>
    </row>
    <row r="11" spans="2:6">
      <c r="B11" s="16" t="s">
        <v>14</v>
      </c>
      <c r="C11" s="14">
        <f>DATE(C3,1,6)</f>
        <v>42010</v>
      </c>
      <c r="D11" s="15">
        <f>DATE(C3,1,6)</f>
        <v>42010</v>
      </c>
      <c r="F11" s="4" t="s">
        <v>15</v>
      </c>
    </row>
    <row r="12" spans="2:4">
      <c r="B12" s="16" t="s">
        <v>16</v>
      </c>
      <c r="C12" s="14">
        <f>DATE(C3,5,1)</f>
        <v>42125</v>
      </c>
      <c r="D12" s="15">
        <f>DATE(C3,5,1)</f>
        <v>42125</v>
      </c>
    </row>
    <row r="13" spans="2:4">
      <c r="B13" s="16" t="s">
        <v>17</v>
      </c>
      <c r="C13" s="14">
        <f>DATE(C3,8,15)</f>
        <v>42231</v>
      </c>
      <c r="D13" s="15">
        <f>DATE(C3,8,15)</f>
        <v>42231</v>
      </c>
    </row>
    <row r="14" spans="2:4">
      <c r="B14" s="16" t="s">
        <v>18</v>
      </c>
      <c r="C14" s="14">
        <f>DATE(C3,10,3)</f>
        <v>42280</v>
      </c>
      <c r="D14" s="15">
        <f>DATE(C3,10,3)</f>
        <v>42280</v>
      </c>
    </row>
    <row r="15" spans="2:4">
      <c r="B15" s="16" t="s">
        <v>19</v>
      </c>
      <c r="C15" s="14">
        <f>DATE(C3,11,1)</f>
        <v>42309</v>
      </c>
      <c r="D15" s="15">
        <f>DATE(C3,11,1)</f>
        <v>42309</v>
      </c>
    </row>
    <row r="16" spans="2:4">
      <c r="B16" s="16" t="s">
        <v>20</v>
      </c>
      <c r="C16" s="14">
        <f>DATE(C3,12,25)</f>
        <v>42363</v>
      </c>
      <c r="D16" s="15">
        <f>DATE(C3,12,25)</f>
        <v>42363</v>
      </c>
    </row>
    <row r="17" spans="2:4">
      <c r="B17" s="17" t="s">
        <v>21</v>
      </c>
      <c r="C17" s="18">
        <f>DATE(C3,12,26)</f>
        <v>42364</v>
      </c>
      <c r="D17" s="19">
        <f>DATE(C3,12,26)</f>
        <v>42364</v>
      </c>
    </row>
    <row r="22" spans="2:2">
      <c r="B22" s="5" t="s">
        <v>22</v>
      </c>
    </row>
    <row r="24" spans="2:9">
      <c r="B24" s="4" t="s">
        <v>23</v>
      </c>
      <c r="C24" s="20">
        <v>42097</v>
        <f>_PMFN.HOLIDAY(C3,0)</f>
      </c>
      <c r="D24" s="21">
        <v>42097</v>
        <f>_PMFN.HOLIDAY(C3,0)</f>
      </c>
      <c r="F24" s="4" t="s">
        <v>24</v>
      </c>
      <c r="I24" s="4" t="s">
        <v>25</v>
      </c>
    </row>
    <row r="25" spans="2:9">
      <c r="B25" s="22" t="s">
        <v>26</v>
      </c>
      <c r="C25" s="23">
        <v>42099</v>
        <f>_PMFN.HOLIDAY(C3,1)</f>
      </c>
      <c r="D25" s="24">
        <v>42099</v>
        <f>_PMFN.HOLIDAY(C3,1)</f>
      </c>
      <c r="E25" s="25"/>
      <c r="F25" s="25" t="s">
        <v>27</v>
      </c>
      <c r="G25" s="25"/>
      <c r="H25" s="25"/>
      <c r="I25" s="4" t="s">
        <v>28</v>
      </c>
    </row>
    <row r="26" spans="2:9">
      <c r="B26" s="4" t="s">
        <v>29</v>
      </c>
      <c r="C26" s="20">
        <v>42100</v>
        <f>_PMFN.HOLIDAY(C3,2)</f>
      </c>
      <c r="D26" s="21">
        <v>42100</v>
        <f>_PMFN.HOLIDAY(C3,2)</f>
      </c>
      <c r="F26" s="4" t="s">
        <v>30</v>
      </c>
      <c r="I26" s="5" t="s">
        <v>31</v>
      </c>
    </row>
    <row r="27" spans="2:12">
      <c r="B27" s="4" t="s">
        <v>32</v>
      </c>
      <c r="C27" s="20">
        <v>42138</v>
        <f>_PMFN.HOLIDAY(C3,3)</f>
      </c>
      <c r="D27" s="21">
        <v>42138</v>
        <f>_PMFN.HOLIDAY(C3,3)</f>
      </c>
      <c r="F27" s="4" t="s">
        <v>33</v>
      </c>
      <c r="I27" s="4" t="s">
        <v>34</v>
      </c>
      <c r="L27" s="5" t="s">
        <v>35</v>
      </c>
    </row>
    <row r="28" spans="2:9">
      <c r="B28" s="22" t="s">
        <v>36</v>
      </c>
      <c r="C28" s="23">
        <v>42148</v>
        <f>_PMFN.HOLIDAY(C3,4)</f>
      </c>
      <c r="D28" s="24">
        <v>42148</v>
        <f>_PMFN.HOLIDAY(C3,4)</f>
      </c>
      <c r="E28" s="25"/>
      <c r="F28" s="25" t="s">
        <v>27</v>
      </c>
      <c r="G28" s="25"/>
      <c r="H28" s="25"/>
      <c r="I28" s="4" t="s">
        <v>37</v>
      </c>
    </row>
    <row r="29" spans="2:9">
      <c r="B29" s="4" t="s">
        <v>38</v>
      </c>
      <c r="C29" s="20">
        <v>42149</v>
        <f>_PMFN.HOLIDAY(C3,5)</f>
      </c>
      <c r="D29" s="21">
        <v>42149</v>
        <f>_PMFN.HOLIDAY(C3,5)</f>
      </c>
      <c r="F29" s="4" t="s">
        <v>30</v>
      </c>
      <c r="I29" s="5" t="s">
        <v>39</v>
      </c>
    </row>
    <row r="30" spans="2:9">
      <c r="B30" s="4" t="s">
        <v>40</v>
      </c>
      <c r="C30" s="20">
        <v>42159</v>
        <f>_PMFN.HOLIDAY(C3,6)</f>
      </c>
      <c r="D30" s="21">
        <v>42159</v>
        <f>_PMFN.HOLIDAY(C3,6)</f>
      </c>
      <c r="F30" s="4" t="s">
        <v>33</v>
      </c>
      <c r="I30" s="4" t="s">
        <v>41</v>
      </c>
    </row>
    <row r="31" spans="2:9">
      <c r="B31" s="25" t="s">
        <v>42</v>
      </c>
      <c r="C31" s="26">
        <v>42053</v>
        <f>_PMFN.HOLIDAY(C3,7)</f>
      </c>
      <c r="D31" s="27">
        <v>42053</v>
        <f>_PMFN.HOLIDAY(C3,7)</f>
      </c>
      <c r="E31" s="25"/>
      <c r="F31" s="25"/>
      <c r="G31" s="25"/>
      <c r="H31" s="25"/>
      <c r="I31" s="5" t="s">
        <v>43</v>
      </c>
    </row>
    <row r="32" spans="2:8">
      <c r="B32" s="25" t="s">
        <v>44</v>
      </c>
      <c r="C32" s="26">
        <v>42326</v>
        <f>_PMFN.HOLIDAY(C3,8)</f>
      </c>
      <c r="D32" s="27">
        <v>42326</v>
        <f>_PMFN.HOLIDAY(C3,8)</f>
      </c>
      <c r="E32" s="25"/>
      <c r="F32" s="25"/>
      <c r="G32" s="25"/>
      <c r="H32" s="25"/>
    </row>
    <row r="33" spans="2:8">
      <c r="B33" s="22" t="s">
        <v>45</v>
      </c>
      <c r="C33" s="23">
        <v>42337</v>
        <f>_PMFN.HOLIDAY(C3,9)</f>
      </c>
      <c r="D33" s="24">
        <v>42337</v>
        <f>_PMFN.HOLIDAY(C3,9)</f>
      </c>
      <c r="E33" s="25"/>
      <c r="F33" s="25" t="s">
        <v>27</v>
      </c>
      <c r="G33" s="25"/>
      <c r="H33" s="25"/>
    </row>
    <row r="36" spans="2:2">
      <c r="B36" s="4" t="s">
        <v>46</v>
      </c>
    </row>
    <row r="37" spans="2:2">
      <c r="B37" s="4" t="s">
        <v>47</v>
      </c>
    </row>
    <row r="38" spans="2:2">
      <c r="B38" s="4" t="s">
        <v>48</v>
      </c>
    </row>
    <row r="39" spans="2:2">
      <c r="B39" s="4" t="s">
        <v>49</v>
      </c>
    </row>
    <row r="40" spans="2:2">
      <c r="B40" s="4" t="s">
        <v>10</v>
      </c>
    </row>
    <row r="41" spans="1:1"/>
    <row r="43" spans="2:4">
      <c r="B43" s="28" t="s">
        <v>50</v>
      </c>
      <c r="D43" s="4" t="s">
        <v>51</v>
      </c>
    </row>
    <row r="45" spans="2:17">
      <c r="B45" s="29" t="s">
        <v>52</v>
      </c>
      <c r="C45" s="30">
        <f>YEAR('[1]Januar'!A94)</f>
        <v>2015</v>
      </c>
      <c r="E45" s="31" t="s">
        <v>53</v>
      </c>
      <c r="F45" s="32"/>
      <c r="G45" s="32" t="s">
        <v>54</v>
      </c>
      <c r="H45" s="32"/>
      <c r="I45" s="32"/>
      <c r="J45" s="32"/>
      <c r="K45" s="32"/>
      <c r="L45" s="32"/>
      <c r="M45" s="32"/>
      <c r="N45" s="32"/>
      <c r="O45" s="32"/>
      <c r="P45" s="32"/>
      <c r="Q45" s="33"/>
    </row>
    <row r="46" spans="3:17">
      <c r="C46" s="34"/>
      <c r="E46" s="35"/>
      <c r="F46" s="36"/>
      <c r="G46" s="36" t="s">
        <v>55</v>
      </c>
      <c r="H46" s="36"/>
      <c r="I46" s="36"/>
      <c r="J46" s="36"/>
      <c r="K46" s="36"/>
      <c r="L46" s="36"/>
      <c r="M46" s="36"/>
      <c r="N46" s="36" t="s">
        <v>56</v>
      </c>
      <c r="O46" s="36"/>
      <c r="P46" s="36"/>
      <c r="Q46" s="37"/>
    </row>
    <row r="47" spans="3:17">
      <c r="C47" s="34"/>
      <c r="E47" s="38" t="n">
        <v>2013</v>
      </c>
      <c r="F47" s="39" t="n">
        <v>2014</v>
      </c>
      <c r="G47" s="39" t="n">
        <v>2015</v>
      </c>
      <c r="H47" s="39" t="n">
        <v>2016</v>
      </c>
      <c r="I47" s="39" t="n">
        <v>2017</v>
      </c>
      <c r="J47" s="39" t="n">
        <v>2018</v>
      </c>
      <c r="K47" s="39" t="n">
        <v>2019</v>
      </c>
      <c r="L47" s="39" t="n">
        <v>2020</v>
      </c>
      <c r="M47" s="39" t="n">
        <v>2021</v>
      </c>
      <c r="N47" s="39" t="n">
        <v>2022</v>
      </c>
      <c r="O47" s="39" t="n">
        <v>2023</v>
      </c>
      <c r="P47" s="39" t="n">
        <v>2024</v>
      </c>
      <c r="Q47" s="40" t="n">
        <v>2025</v>
      </c>
    </row>
    <row r="48" spans="2:17">
      <c r="B48" s="4" t="s">
        <v>57</v>
      </c>
      <c r="C48" s="41">
        <f>IF(C45=E47,E48,IF(C45=F47,F48,IF(C45=G47,G48,IF(C45=H47,H48,IF(C45=I47,I48,IF(C45=J47,J48,IF(C45=K47,K48,IF(C45=L47,L48,IF(C45=M47,M48,IF(C45=N47,N48,IF(C45=O47,O48,IF(C45=P47,P48,IF(C45=Q47,Q48,0)))))))))))))</f>
        <v>20</v>
      </c>
      <c r="E48" s="42">
        <f>NETWORKDAYS("1.1.2013","31.1.2013",D10:D11)</f>
        <v>23</v>
      </c>
      <c r="F48" s="43">
        <f>NETWORKDAYS("1.1.2014","31.1.2014",D10:D11)</f>
        <v>23</v>
      </c>
      <c r="G48" s="43">
        <f>NETWORKDAYS("1.1.2015","31.1.2015",D10:D11)</f>
        <v>20</v>
      </c>
      <c r="H48" s="43">
        <f>NETWORKDAYS("1.1.2016","31.1.2016",D10:D11)</f>
        <v>21</v>
      </c>
      <c r="I48" s="43">
        <f>NETWORKDAYS("1.1.2017","31.1.2017",D10:D11)</f>
        <v>22</v>
      </c>
      <c r="J48" s="43">
        <f>NETWORKDAYS("1.1.2018","31.1.2018",D10:D11)</f>
        <v>23</v>
      </c>
      <c r="K48" s="43">
        <f>NETWORKDAYS("1.1.2019","31.1.2019",D10:D11)</f>
        <v>23</v>
      </c>
      <c r="L48" s="43">
        <f>NETWORKDAYS("1.1.2020","31.1.2020",D10:D11)</f>
        <v>23</v>
      </c>
      <c r="M48" s="43">
        <f>NETWORKDAYS("1.1.2021","31.1.2021",D10:D11)</f>
        <v>21</v>
      </c>
      <c r="N48" s="43">
        <f>NETWORKDAYS("1.1.2022","31.1.2022",D10:D11)</f>
        <v>21</v>
      </c>
      <c r="O48" s="43">
        <f>NETWORKDAYS("1.1.2023","31.1.2023",D10:D11)</f>
        <v>22</v>
      </c>
      <c r="P48" s="43">
        <f>NETWORKDAYS("1.1.2024","31.1.2024",D10:D11)</f>
        <v>23</v>
      </c>
      <c r="Q48" s="44">
        <f>NETWORKDAYS("1.1.2025","31.1.2025",D10:D11)</f>
        <v>23</v>
      </c>
    </row>
    <row r="49" spans="2:17">
      <c r="B49" s="4" t="s">
        <v>58</v>
      </c>
      <c r="C49" s="41">
        <f>IF(C45=E47,E49,IF(C45=F47,F49,IF(C45=G47,G49,IF(C45=H47,H49,IF(C45=I47,I49,IF(C45=J47,J49,IF(C45=K47,K49,IF(C45=L47,L49,IF(C45=M47,M49,IF(C45=N47,N49,IF(C45=O47,O49,IF(C45=P47,P49,IF(C45=Q47,Q49,0)))))))))))))</f>
        <v>20</v>
      </c>
      <c r="E49" s="45">
        <f>NETWORKDAYS("1.2.2013","28.2.2013")</f>
        <v>20</v>
      </c>
      <c r="F49" s="46">
        <f>NETWORKDAYS("1.2.2014","28.2.2014")</f>
        <v>20</v>
      </c>
      <c r="G49" s="46">
        <f>NETWORKDAYS("1.2.2015","28.2.2015")</f>
        <v>20</v>
      </c>
      <c r="H49" s="46">
        <f>NETWORKDAYS("1.2.2016","29.2.2016")</f>
        <v>21</v>
      </c>
      <c r="I49" s="46">
        <f>NETWORKDAYS("1.2.2017","28.2.2017")</f>
        <v>20</v>
      </c>
      <c r="J49" s="46">
        <f>NETWORKDAYS("1.2.2018","28.2.2018")</f>
        <v>20</v>
      </c>
      <c r="K49" s="46">
        <f>NETWORKDAYS("1.2.2019","28.2.2019")</f>
        <v>20</v>
      </c>
      <c r="L49" s="46">
        <f>NETWORKDAYS("1.2.2020","29.2.2020")</f>
        <v>20</v>
      </c>
      <c r="M49" s="46">
        <f>NETWORKDAYS("1.2.2021","28.2.2021")</f>
        <v>20</v>
      </c>
      <c r="N49" s="46">
        <f>NETWORKDAYS("1.2.2022","28.2.2022")</f>
        <v>20</v>
      </c>
      <c r="O49" s="46">
        <f>NETWORKDAYS("1.2.2023","28.2.2023")</f>
        <v>20</v>
      </c>
      <c r="P49" s="46">
        <f>NETWORKDAYS("1.2.2024","29.2.2024")</f>
        <v>21</v>
      </c>
      <c r="Q49" s="47">
        <f>NETWORKDAYS("1.2.2025","28.2.2025")</f>
        <v>20</v>
      </c>
    </row>
    <row r="50" spans="2:17">
      <c r="B50" s="4" t="s">
        <v>59</v>
      </c>
      <c r="C50" s="41">
        <f>IF(C45=E47,E50,IF(C45=F47,F50,IF(C45=G47,G50,IF(C45=H47,H50,IF(C45=I47,I50,IF(C45=J47,J50,IF(C45=K47,K50,IF(C45=L47,L50,IF(C45=M47,M50,IF(C45=N47,N50,IF(C45=O47,O50,IF(C45=P47,P50,IF(C45=Q47,Q50,0)))))))))))))</f>
        <v>22</v>
      </c>
      <c r="E50" s="45">
        <f>NETWORKDAYS("1.3.2013","31.3.2013")</f>
        <v>21</v>
      </c>
      <c r="F50" s="46">
        <f>NETWORKDAYS("1.3.2014","31.3.2014")</f>
        <v>21</v>
      </c>
      <c r="G50" s="46">
        <f>NETWORKDAYS("1.3.2015","31.3.2015")</f>
        <v>22</v>
      </c>
      <c r="H50" s="46">
        <f>NETWORKDAYS("1.3.2016","31.3.2016")</f>
        <v>23</v>
      </c>
      <c r="I50" s="46">
        <f>NETWORKDAYS("1.3.2017","31.3.2017")</f>
        <v>23</v>
      </c>
      <c r="J50" s="46">
        <f>NETWORKDAYS("1.3.2018","31.3.2018")</f>
        <v>22</v>
      </c>
      <c r="K50" s="46">
        <f>NETWORKDAYS("1.3.2019","31.3.2019")</f>
        <v>21</v>
      </c>
      <c r="L50" s="46">
        <f>NETWORKDAYS("1.3.2020","31.3.2020")</f>
        <v>22</v>
      </c>
      <c r="M50" s="46">
        <f>NETWORKDAYS("1.3.2021","31.3.2021")</f>
        <v>23</v>
      </c>
      <c r="N50" s="46">
        <f>NETWORKDAYS("1.3.2022","31.3.2022")</f>
        <v>23</v>
      </c>
      <c r="O50" s="46">
        <f>NETWORKDAYS("1.3.2023","31.3.2023")</f>
        <v>23</v>
      </c>
      <c r="P50" s="46">
        <f>NETWORKDAYS("1.3.2024","31.3.2024")</f>
        <v>21</v>
      </c>
      <c r="Q50" s="47">
        <f>NETWORKDAYS("1.3.2025","31.3.2025")</f>
        <v>21</v>
      </c>
    </row>
    <row r="51" spans="2:17">
      <c r="B51" s="4" t="s">
        <v>60</v>
      </c>
      <c r="C51" s="41">
        <f>IF(C45=E47,E51,IF(C45=F47,F51,IF(C45=G47,G51,IF(C45=H47,H51,IF(C45=I47,I51,IF(C45=J47,J51,IF(C45=K47,K51,IF(C45=L47,L51,IF(C45=M47,M51,IF(C45=N47,N51,IF(C45=O47,O51,IF(C45=P47,P51,IF(C45=Q47,Q51,0)))))))))))))</f>
        <v>20</v>
      </c>
      <c r="E51" s="45">
        <f>NETWORKDAYS("1.4.2013","30.4.2013",D24:D26)</f>
        <v>22</v>
      </c>
      <c r="F51" s="46">
        <f>NETWORKDAYS("1.4.2014","30.4.2014",D24:D26)</f>
        <v>22</v>
      </c>
      <c r="G51" s="46">
        <f>NETWORKDAYS("1.4.2015","30.4.2015",D24:D26)</f>
        <v>20</v>
      </c>
      <c r="H51" s="46">
        <f>NETWORKDAYS("1.4.2016","30.4.2016",D24:D26)</f>
        <v>21</v>
      </c>
      <c r="I51" s="46">
        <f>NETWORKDAYS("1.4.2017","30.4.2017",D24:D26)</f>
        <v>20</v>
      </c>
      <c r="J51" s="46">
        <f>NETWORKDAYS("1.4.2018","30.4.2018",D24:D26)</f>
        <v>21</v>
      </c>
      <c r="K51" s="46">
        <f>NETWORKDAYS("1.4.2019","30.4.2019",D24:D26)</f>
        <v>22</v>
      </c>
      <c r="L51" s="46">
        <f>NETWORKDAYS("1.4.2020","30.4.2020",D24:D26)</f>
        <v>22</v>
      </c>
      <c r="M51" s="46">
        <f>NETWORKDAYS("1.4.2021","30.4.2021",D24:D26)</f>
        <v>22</v>
      </c>
      <c r="N51" s="46">
        <f>NETWORKDAYS("1.4.2022","30.4.2022",D24:D26)</f>
        <v>21</v>
      </c>
      <c r="O51" s="46">
        <f>NETWORKDAYS("1.4.2023","30.4.2023",D24:D26)</f>
        <v>20</v>
      </c>
      <c r="P51" s="46">
        <f>NETWORKDAYS("1.4.2024","30.4.2024",D24:D26)</f>
        <v>22</v>
      </c>
      <c r="Q51" s="47">
        <f>NETWORKDAYS("1.4.2025","30.4.2025",D24:D26)</f>
        <v>22</v>
      </c>
    </row>
    <row r="52" spans="2:17">
      <c r="B52" s="4" t="s">
        <v>61</v>
      </c>
      <c r="C52" s="41">
        <f>IF(C45=E47,E52,IF(C45=F47,F52,IF(C45=G47,G52,IF(C45=H47,H52,IF(C45=I47,I52,IF(C45=J47,J52,IF(C45=K47,K52,IF(C45=L47,L52,IF(C45=M47,M52,IF(C45=N47,N52,IF(C45=O47,O52,IF(C45=P47,P52,IF(C45=Q47,Q52,0)))))))))))))</f>
        <v>19</v>
      </c>
      <c r="E52" s="45">
        <f>NETWORKDAYS("1.5.2013","31.5.2013",D12:D27)</f>
        <v>23</v>
      </c>
      <c r="F52" s="46">
        <f>NETWORKDAYS("1.5.2014","31.5.2014",D12:D27)</f>
        <v>22</v>
      </c>
      <c r="G52" s="46">
        <f>NETWORKDAYS("1.5.2015","31.5.2015",D12:D27)</f>
        <v>19</v>
      </c>
      <c r="H52" s="46">
        <f>NETWORKDAYS("1.5.2016","31.5.2016",D12:D27)</f>
        <v>22</v>
      </c>
      <c r="I52" s="46">
        <f>NETWORKDAYS("1.5.2017","31.5.2017",D12:D27)</f>
        <v>23</v>
      </c>
      <c r="J52" s="46">
        <f>NETWORKDAYS("1.5.2018","31.5.2018",D12:D27)</f>
        <v>23</v>
      </c>
      <c r="K52" s="46">
        <f>NETWORKDAYS("1.5.2019","31.5.2019",D12:D27)</f>
        <v>23</v>
      </c>
      <c r="L52" s="46">
        <f>NETWORKDAYS("1.5.2020","31.5.2020",D12:D27)</f>
        <v>21</v>
      </c>
      <c r="M52" s="46">
        <f>NETWORKDAYS("1.5.2021","31.5.2021",D12:D27)</f>
        <v>21</v>
      </c>
      <c r="N52" s="46">
        <f>NETWORKDAYS("1.5.2022","31.5.2022",D12:D27)</f>
        <v>22</v>
      </c>
      <c r="O52" s="46">
        <f>NETWORKDAYS("1.5.2023","31.5.2023",D12:D27)</f>
        <v>23</v>
      </c>
      <c r="P52" s="46">
        <f>NETWORKDAYS("1.5.2024","31.5.2024",D12:D27)</f>
        <v>23</v>
      </c>
      <c r="Q52" s="47">
        <f>NETWORKDAYS("1.5.2025","31.5.2025",D12:D27)</f>
        <v>22</v>
      </c>
    </row>
    <row r="53" spans="2:17">
      <c r="B53" s="4" t="s">
        <v>62</v>
      </c>
      <c r="C53" s="41">
        <f>IF(C45=E47,E53,IF(C45=F47,F53,IF(C45=G47,G53,IF(C45=H47,H53,IF(C45=I47,I53,IF(C45=J47,J53,IF(C45=K47,K53,IF(C45=L47,L53,IF(C45=M47,M53,IF(C45=N47,N53,IF(C45=O47,O53,IF(C45=P47,P53,IF(C45=Q47,Q53,0)))))))))))))</f>
        <v>21</v>
      </c>
      <c r="E53" s="45">
        <f>NETWORKDAYS("1.6.2013","30.6.2013",D29:D30)</f>
        <v>20</v>
      </c>
      <c r="F53" s="46">
        <f>NETWORKDAYS("1.6.2014","30.6.2014",D29:D30)</f>
        <v>21</v>
      </c>
      <c r="G53" s="46">
        <f>NETWORKDAYS("1.6.2015","30.6.2015",D29:D30)</f>
        <v>21</v>
      </c>
      <c r="H53" s="46">
        <f>NETWORKDAYS("1.6.2016","30.6.2016",D29:D30)</f>
        <v>22</v>
      </c>
      <c r="I53" s="46">
        <f>NETWORKDAYS("1.6.2017","30.6.2017",D29:D30)</f>
        <v>22</v>
      </c>
      <c r="J53" s="46">
        <f>NETWORKDAYS("1.6.2018","30.6.2018",D29:D30)</f>
        <v>21</v>
      </c>
      <c r="K53" s="46">
        <f>NETWORKDAYS("1.6.2019","30.6.2019",D29:D30)</f>
        <v>20</v>
      </c>
      <c r="L53" s="46">
        <f>NETWORKDAYS("1.6.2020","30.6.2020",D29:D30)</f>
        <v>22</v>
      </c>
      <c r="M53" s="46">
        <f>NETWORKDAYS("1.6.2021","30.6.2021",D29:D30)</f>
        <v>22</v>
      </c>
      <c r="N53" s="46">
        <f>NETWORKDAYS("1.6.2022","30.6.2022",D29:D30)</f>
        <v>22</v>
      </c>
      <c r="O53" s="46">
        <f>NETWORKDAYS("1.6.2023","30.6.2023",D29:D30)</f>
        <v>22</v>
      </c>
      <c r="P53" s="46">
        <f>NETWORKDAYS("1.6.2024","30.6.2024",D29:D30)</f>
        <v>20</v>
      </c>
      <c r="Q53" s="47">
        <f>NETWORKDAYS("1.6.2025","30.6.2025",D29:D30)</f>
        <v>21</v>
      </c>
    </row>
    <row r="54" spans="2:17">
      <c r="B54" s="4" t="s">
        <v>63</v>
      </c>
      <c r="C54" s="41">
        <f>IF(C45=E47,E54,IF(C45=F47,F54,IF(C45=G47,G54,IF(C45=H47,H54,IF(C45=I47,I54,IF(C45=J47,J54,IF(C45=K47,K54,IF(C45=L47,L54,IF(C45=M47,M54,IF(C45=N47,N54,IF(C45=O47,O54,IF(C45=P47,P54,IF(C45=Q47,Q54,0)))))))))))))</f>
        <v>23</v>
      </c>
      <c r="E54" s="45">
        <f>NETWORKDAYS("1.7.2013","31.7.2013")</f>
        <v>23</v>
      </c>
      <c r="F54" s="46">
        <f>NETWORKDAYS("1.7.2014","31.7.2014")</f>
        <v>23</v>
      </c>
      <c r="G54" s="46">
        <f>NETWORKDAYS("1.7.2015","31.7.2015")</f>
        <v>23</v>
      </c>
      <c r="H54" s="46">
        <f>NETWORKDAYS("1.7.2016","31.7.2016")</f>
        <v>21</v>
      </c>
      <c r="I54" s="46">
        <f>NETWORKDAYS("1.7.2017","31.7.2017")</f>
        <v>21</v>
      </c>
      <c r="J54" s="46">
        <f>NETWORKDAYS("1.7.2018","31.7.2018")</f>
        <v>22</v>
      </c>
      <c r="K54" s="46">
        <f>NETWORKDAYS("1.7.2019","31.7.2019")</f>
        <v>23</v>
      </c>
      <c r="L54" s="46">
        <f>NETWORKDAYS("1.7.2020","31.7.2020")</f>
        <v>23</v>
      </c>
      <c r="M54" s="46">
        <f>NETWORKDAYS("1.7.2021","31.7.2021")</f>
        <v>22</v>
      </c>
      <c r="N54" s="46">
        <f>NETWORKDAYS("1.7.2022","31.7.2022")</f>
        <v>21</v>
      </c>
      <c r="O54" s="46">
        <f>NETWORKDAYS("1.7.2023","31.7.2023")</f>
        <v>21</v>
      </c>
      <c r="P54" s="46">
        <f>NETWORKDAYS("1.7.2024","31.7.2024")</f>
        <v>23</v>
      </c>
      <c r="Q54" s="47">
        <f>NETWORKDAYS("1.7.2025","31.7.2025")</f>
        <v>23</v>
      </c>
    </row>
    <row r="55" spans="2:17">
      <c r="B55" s="4" t="s">
        <v>64</v>
      </c>
      <c r="C55" s="41">
        <f>IF(C45=E47,E55,IF(C45=F47,F55,IF(C45=G47,G55,IF(C45=H47,H55,IF(C45=I47,I55,IF(C45=J47,J55,IF(C45=K47,K55,IF(C45=L47,L55,IF(C45=M47,M55,IF(C45=N47,N55,IF(C45=O47,O55,IF(C45=P47,P55,IF(C45=Q47,Q55,0)))))))))))))</f>
        <v>21</v>
      </c>
      <c r="E55" s="45">
        <f>NETWORKDAYS("1.8.2013","31.8.2013",D13)</f>
        <v>22</v>
      </c>
      <c r="F55" s="46">
        <f>NETWORKDAYS("1.8.2014","31.8.2014",D13)</f>
        <v>21</v>
      </c>
      <c r="G55" s="46">
        <f>NETWORKDAYS("1.8.2015","31.8.2015",D13)</f>
        <v>21</v>
      </c>
      <c r="H55" s="46">
        <f>NETWORKDAYS("1.8.2016","31.8.2016",D13)</f>
        <v>23</v>
      </c>
      <c r="I55" s="46">
        <f>NETWORKDAYS("1.8.2017","31.8.2017",D13)</f>
        <v>23</v>
      </c>
      <c r="J55" s="46">
        <f>NETWORKDAYS("1.8.2018","31.8.2018",D13)</f>
        <v>23</v>
      </c>
      <c r="K55" s="46">
        <f>NETWORKDAYS("1.8.2019","31.8.2019",D13)</f>
        <v>22</v>
      </c>
      <c r="L55" s="46">
        <f>NETWORKDAYS("1.8.2020","31.8.2020",D13)</f>
        <v>21</v>
      </c>
      <c r="M55" s="46">
        <f>NETWORKDAYS("1.8.2021","31.8.2021",D13)</f>
        <v>22</v>
      </c>
      <c r="N55" s="46">
        <f>NETWORKDAYS("1.8.2022","31.8.2022",D13)</f>
        <v>23</v>
      </c>
      <c r="O55" s="46">
        <f>NETWORKDAYS("1.8.2023","31.8.2023",D13)</f>
        <v>23</v>
      </c>
      <c r="P55" s="46">
        <f>NETWORKDAYS("1.8.2024","31.8.2024",D13)</f>
        <v>22</v>
      </c>
      <c r="Q55" s="47">
        <f>NETWORKDAYS("1.8.2025","31.8.2025",D13)</f>
        <v>21</v>
      </c>
    </row>
    <row r="56" spans="2:17">
      <c r="B56" s="4" t="s">
        <v>65</v>
      </c>
      <c r="C56" s="41">
        <f>IF(C45=E47,E56,IF(C45=F47,F56,IF(C45=G47,G56,IF(C45=H47,H56,IF(C45=I47,I56,IF(C45=J47,J56,IF(C45=K47,K56,IF(C45=L47,L56,IF(C45=M47,M56,IF(C45=N47,N56,IF(C45=O47,O56,IF(C45=P47,P56,IF(C45=Q47,Q56,0)))))))))))))</f>
        <v>22</v>
      </c>
      <c r="E56" s="45">
        <f>NETWORKDAYS("1.9.2013","30.9.2013")</f>
        <v>21</v>
      </c>
      <c r="F56" s="46">
        <f>NETWORKDAYS("1.9.2014","30.9.2014")</f>
        <v>22</v>
      </c>
      <c r="G56" s="46">
        <f>NETWORKDAYS("1.9.2015","30.9.2015")</f>
        <v>22</v>
      </c>
      <c r="H56" s="46">
        <f>NETWORKDAYS("1.9.2016","30.9.2016")</f>
        <v>22</v>
      </c>
      <c r="I56" s="46">
        <f>NETWORKDAYS("1.9.2017","30.9.2017")</f>
        <v>21</v>
      </c>
      <c r="J56" s="46">
        <f>NETWORKDAYS("1.9.2018","30.9.2018")</f>
        <v>20</v>
      </c>
      <c r="K56" s="46">
        <f>NETWORKDAYS("1.9.2019","30.9.2019")</f>
        <v>21</v>
      </c>
      <c r="L56" s="46">
        <f>NETWORKDAYS("1.9.2020","30.9.2020")</f>
        <v>22</v>
      </c>
      <c r="M56" s="46">
        <f>NETWORKDAYS("1.9.2021","30.9.2021")</f>
        <v>22</v>
      </c>
      <c r="N56" s="46">
        <f>NETWORKDAYS("1.9.2022","30.9.2022")</f>
        <v>22</v>
      </c>
      <c r="O56" s="46">
        <f>NETWORKDAYS("1.9.2023","30.9.2023")</f>
        <v>21</v>
      </c>
      <c r="P56" s="46">
        <f>NETWORKDAYS("1.9.2024","30.9.2024")</f>
        <v>21</v>
      </c>
      <c r="Q56" s="47">
        <f>NETWORKDAYS("1.9.2025","30.9.2025")</f>
        <v>22</v>
      </c>
    </row>
    <row r="57" spans="2:17">
      <c r="B57" s="4" t="s">
        <v>66</v>
      </c>
      <c r="C57" s="41">
        <f>IF(C45=E47,E57,IF(C45=F47,F57,IF(C45=G47,G57,IF(C45=H47,H57,IF(C45=I47,I57,IF(C45=J47,J57,IF(C45=K47,K57,IF(C45=L47,L57,IF(C45=M47,M57,IF(C45=N47,N57,IF(C45=O47,O57,IF(C45=P47,P57,IF(C45=Q47,Q57,0)))))))))))))</f>
        <v>22</v>
      </c>
      <c r="E57" s="45">
        <f>NETWORKDAYS("1.10.2013","31.10.2013",D14)</f>
        <v>23</v>
      </c>
      <c r="F57" s="46">
        <f>NETWORKDAYS("1.10.2014","31.10.2014",D14)</f>
        <v>23</v>
      </c>
      <c r="G57" s="46">
        <f>NETWORKDAYS("1.10.2015","31.10.2015",D14)</f>
        <v>22</v>
      </c>
      <c r="H57" s="46">
        <f>NETWORKDAYS("1.10.2016","31.10.2016",D14)</f>
        <v>21</v>
      </c>
      <c r="I57" s="46">
        <f>NETWORKDAYS("1.10.2017","31.10.2017",D14)</f>
        <v>22</v>
      </c>
      <c r="J57" s="46">
        <f>NETWORKDAYS("1.10.2018","31.10.2018",D14)</f>
        <v>23</v>
      </c>
      <c r="K57" s="46">
        <f>NETWORKDAYS("1.10.2019","31.10.2019",D14)</f>
        <v>23</v>
      </c>
      <c r="L57" s="46">
        <f>NETWORKDAYS("1.10.2020","31.10.2020",D14)</f>
        <v>22</v>
      </c>
      <c r="M57" s="46">
        <f>NETWORKDAYS("1.10.2021","31.10.2021",D14)</f>
        <v>21</v>
      </c>
      <c r="N57" s="46">
        <f>NETWORKDAYS("1.10.2022","31.10.2022",D14)</f>
        <v>21</v>
      </c>
      <c r="O57" s="46">
        <f>NETWORKDAYS("1.10.2023","31.10.2023",D14)</f>
        <v>22</v>
      </c>
      <c r="P57" s="46">
        <f>NETWORKDAYS("1.10.2024","31.10.2024",D14)</f>
        <v>23</v>
      </c>
      <c r="Q57" s="47">
        <f>NETWORKDAYS("1.10.2025","31.10.2025",D14)</f>
        <v>23</v>
      </c>
    </row>
    <row r="58" spans="2:17">
      <c r="B58" s="4" t="s">
        <v>67</v>
      </c>
      <c r="C58" s="41">
        <f>IF(C45=E47,E58,IF(C45=F47,F58,IF(C45=G47,G58,IF(C45=H47,H58,IF(C45=I47,I58,IF(C45=J47,J58,IF(C45=K47,K58,IF(C45=L47,L58,IF(C45=M47,M58,IF(C45=N47,N58,IF(C45=O47,O58,IF(C45=P47,P58,IF(C45=Q47,Q58,0)))))))))))))</f>
        <v>21</v>
      </c>
      <c r="E58" s="45">
        <f>NETWORKDAYS("1.11.2013","30.11.2013",D15)</f>
        <v>21</v>
      </c>
      <c r="F58" s="46">
        <f>NETWORKDAYS("1.11.2014","30.11.2014",D15)</f>
        <v>20</v>
      </c>
      <c r="G58" s="46">
        <f>NETWORKDAYS("1.11.2015","30.11.2015",D15)</f>
        <v>21</v>
      </c>
      <c r="H58" s="46">
        <f>NETWORKDAYS("1.11.2016","30.11.2016",D15)</f>
        <v>22</v>
      </c>
      <c r="I58" s="46">
        <f>NETWORKDAYS("1.11.2017","30.11.2017",D15)</f>
        <v>22</v>
      </c>
      <c r="J58" s="46">
        <f>NETWORKDAYS("1.11.2018","30.11.2018",D15)</f>
        <v>22</v>
      </c>
      <c r="K58" s="46">
        <f>NETWORKDAYS("1.11.2019","30.11.2019",D15)</f>
        <v>21</v>
      </c>
      <c r="L58" s="46">
        <f>NETWORKDAYS("1.11.2020","30.11.2020",D15)</f>
        <v>21</v>
      </c>
      <c r="M58" s="46">
        <f>NETWORKDAYS("1.11.2021","30.11.2021",D15)</f>
        <v>22</v>
      </c>
      <c r="N58" s="46">
        <f>NETWORKDAYS("1.11.2022","30.11.2022",D15)</f>
        <v>22</v>
      </c>
      <c r="O58" s="46">
        <f>NETWORKDAYS("1.11.2023","30.11.2023",D15)</f>
        <v>22</v>
      </c>
      <c r="P58" s="46">
        <f>NETWORKDAYS("1.11.2024","30.11.2024",D15)</f>
        <v>21</v>
      </c>
      <c r="Q58" s="47">
        <f>NETWORKDAYS("1.11.2025","30.11.2025",D15)</f>
        <v>20</v>
      </c>
    </row>
    <row r="59" spans="2:17">
      <c r="B59" s="4" t="s">
        <v>68</v>
      </c>
      <c r="C59" s="48">
        <f>IF(C45=E47,E59,IF(C45=F47,F59,IF(C45=G47,G59,IF(C45=H47,H59,IF(C45=I47,I59,IF(C45=J47,J59,IF(C45=K47,K59,IF(C45=L47,L59,IF(C45=M47,M59,IF(C45=N47,N59,IF(C45=O47,O59,IF(C45=P47,P59,IF(C45=Q47,Q59,0)))))))))))))</f>
        <v>22</v>
      </c>
      <c r="E59" s="45">
        <f>NETWORKDAYS("1.12.2013","31.12.2013",D16:D17)</f>
        <v>22</v>
      </c>
      <c r="F59" s="46">
        <f>NETWORKDAYS("1.12.2014","31.12.2014",D16:D17)</f>
        <v>23</v>
      </c>
      <c r="G59" s="46">
        <f>NETWORKDAYS("1.12.2015","31.12.2015",D16:D17)</f>
        <v>22</v>
      </c>
      <c r="H59" s="46">
        <f>NETWORKDAYS("1.12.2016","31.12.2016",D16:D17)</f>
        <v>22</v>
      </c>
      <c r="I59" s="46">
        <f>NETWORKDAYS("1.12.2017","31.12.2017",D16:D17)</f>
        <v>21</v>
      </c>
      <c r="J59" s="46">
        <f>NETWORKDAYS("1.12.2018","31.12.2018",D16:D17)</f>
        <v>21</v>
      </c>
      <c r="K59" s="46">
        <f>NETWORKDAYS("1.12.2019","31.12.2019",D16:D17)</f>
        <v>22</v>
      </c>
      <c r="L59" s="46">
        <f>NETWORKDAYS("1.12.2020","31.12.2020",D16:D17)</f>
        <v>23</v>
      </c>
      <c r="M59" s="46">
        <f>NETWORKDAYS("1.12.2021","31.12.2021",D16:D17)</f>
        <v>23</v>
      </c>
      <c r="N59" s="46">
        <f>NETWORKDAYS("1.12.2022","31.12.2022",D16:D17)</f>
        <v>22</v>
      </c>
      <c r="O59" s="46">
        <f>NETWORKDAYS("1.12.2023","31.12.2023",D16:D17)</f>
        <v>21</v>
      </c>
      <c r="P59" s="46">
        <f>NETWORKDAYS("1.12.2024","31.12.2024",D16:D17)</f>
        <v>22</v>
      </c>
      <c r="Q59" s="47">
        <f>NETWORKDAYS("1.12.2025","31.12.2025",D16:D17)</f>
        <v>23</v>
      </c>
    </row>
    <row r="60" spans="5:17">
      <c r="E60" s="49"/>
      <c r="F60" s="50" t="s">
        <v>69</v>
      </c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1"/>
    </row>
    <row r="61" spans="5:17">
      <c r="E61" s="52" t="s">
        <v>70</v>
      </c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4"/>
    </row>
    <row r="77" spans="1:1"/>
    <row r="113" spans="1:1"/>
    <row r="149" spans="1:1"/>
    <row r="185" spans="1:1"/>
    <row r="221" spans="1:1"/>
    <row r="249" spans="1:1"/>
    <row r="288" spans="1:1"/>
    <row r="324" spans="1:1"/>
    <row r="360" spans="1:1"/>
    <row r="396" spans="1:1"/>
    <row r="432" spans="1:1"/>
    <row r="468" spans="1:1"/>
    <row r="504" spans="1:1"/>
    <row r="532" spans="1:1"/>
    <row r="571" spans="1:1"/>
    <row r="607" spans="1:1"/>
    <row r="643" spans="1:1"/>
    <row r="679" spans="1:1"/>
    <row r="715" spans="1:1"/>
    <row r="751" spans="1:1"/>
    <row r="787" spans="1:1"/>
    <row r="815" spans="1:1"/>
    <row r="854" spans="1:1"/>
    <row r="890" spans="1:1"/>
    <row r="926" spans="1:1"/>
    <row r="962" spans="1:1"/>
    <row r="998" spans="1:1"/>
    <row r="1034" spans="1:1"/>
    <row r="1070" spans="1:1"/>
    <row r="1098" spans="1:1"/>
    <row r="1137" spans="1:1"/>
    <row r="1173" spans="1:1"/>
    <row r="1209" spans="1:1"/>
    <row r="1245" spans="1:1"/>
    <row r="1281" spans="1:1"/>
    <row r="1317" spans="1:1"/>
    <row r="1353" spans="1:1"/>
    <row r="1381" spans="1:1"/>
    <row r="1420" spans="1:1"/>
    <row r="1456" spans="1:1"/>
    <row r="1492" spans="1:1"/>
    <row r="1528" spans="1:1"/>
    <row r="1564" spans="1:1"/>
    <row r="1600" spans="1:1"/>
    <row r="1636" spans="1:1"/>
    <row r="1664" spans="1:1"/>
    <row r="1703" spans="1:1"/>
    <row r="1739" spans="1:1"/>
    <row r="1775" spans="1:1"/>
    <row r="1811" spans="1:1"/>
    <row r="1847" spans="1:1"/>
    <row r="1883" spans="1:1"/>
    <row r="1919" spans="1:1"/>
    <row r="1947" spans="1:1"/>
    <row r="1986" spans="1:1"/>
    <row r="2022" spans="1:1"/>
    <row r="2058" spans="1:1"/>
    <row r="2094" spans="1:1"/>
    <row r="2130" spans="1:1"/>
    <row r="2166" spans="1:1"/>
    <row r="2202" spans="1:1"/>
    <row r="2230" spans="1:1"/>
    <row r="2269" spans="1:1"/>
    <row r="2305" spans="1:1"/>
    <row r="2341" spans="1:1"/>
    <row r="2377" spans="1:1"/>
    <row r="2413" spans="1:1"/>
    <row r="2449" spans="1:1"/>
    <row r="2485" spans="1:1"/>
    <row r="2513" spans="1:1"/>
    <row r="2552" spans="1:1"/>
    <row r="2588" spans="1:1"/>
    <row r="2624" spans="1:1"/>
    <row r="2660" spans="1:1"/>
    <row r="2696" spans="1:1"/>
    <row r="2732" spans="1:1"/>
    <row r="2768" spans="1:1"/>
    <row r="2796" spans="1:1"/>
    <row r="2835" spans="1:1"/>
    <row r="2871" spans="1:1"/>
    <row r="2907" spans="1:1"/>
    <row r="2943" spans="1:1"/>
    <row r="2979" spans="1:1"/>
    <row r="3015" spans="1:1"/>
    <row r="3051" spans="1:1"/>
    <row r="3079" spans="1:1"/>
    <row r="3118" spans="1:1"/>
    <row r="3154" spans="1:1"/>
    <row r="3190" spans="1:1"/>
    <row r="3226" spans="1:1"/>
    <row r="3262" spans="1:1"/>
    <row r="3298" spans="1:1"/>
    <row r="3334" spans="1:1"/>
    <row r="3362" spans="1:1"/>
    <row r="3398" spans="1:1"/>
  </sheetData>
  <printOptions>
    <extLst>
      <ext uri="smNativeData">
        <pm:pageFlags xmlns:pm="smNativeData" id="1668724707" printRowHead="0" printColHead="0" printHeadLine="0" printFootLine="0" autoHeightHeader="0" autoHeightFooter="0" fitToPageBoth="0"/>
      </ext>
    </extLst>
  </printOptions>
  <pageMargins left="0.197222" right="0.000000" top="0.197222" bottom="0.000000" header="0.197222" footer="0.000000"/>
  <pageSetup paperSize="9" fitToWidth="1" fitToHeight="1"/>
  <headerFooter>
    <extLst>
      <ext uri="smNativeData">
        <pm:header xmlns:pm="smNativeData" id="1668724707" l="56" r="56" t="56" b="56" borderId="0" fillId="0" vertical="0"/>
        <pm:footer xmlns:pm="smNativeData" id="1668724707" l="56" r="56" t="56" b="56" borderId="0" fillId="0" vertical="2"/>
        <pm:paperBin xmlns:pm="smNativeData" id="1668724707" Id="0" type="0" value="0"/>
        <pm:paperBin xmlns:pm="smNativeData" id="1668724707" Id="1" type="0" value="0"/>
      </ext>
    </extLst>
  </headerFooter>
  <rowBreaks count="97" manualBreakCount="97">
    <brk id="5" man="1"/>
    <brk id="41" man="1"/>
    <brk id="77" man="1"/>
    <brk id="113" man="1"/>
    <brk id="149" man="1"/>
    <brk id="185" man="1"/>
    <brk id="221" man="1"/>
    <brk id="249" man="1"/>
    <brk id="288" man="1"/>
    <brk id="324" man="1"/>
    <brk id="360" man="1"/>
    <brk id="396" man="1"/>
    <brk id="432" man="1"/>
    <brk id="468" man="1"/>
    <brk id="504" man="1"/>
    <brk id="532" man="1"/>
    <brk id="571" man="1"/>
    <brk id="607" man="1"/>
    <brk id="643" man="1"/>
    <brk id="679" man="1"/>
    <brk id="715" man="1"/>
    <brk id="751" man="1"/>
    <brk id="787" man="1"/>
    <brk id="815" man="1"/>
    <brk id="854" man="1"/>
    <brk id="890" man="1"/>
    <brk id="926" man="1"/>
    <brk id="962" man="1"/>
    <brk id="998" man="1"/>
    <brk id="1034" man="1"/>
    <brk id="1070" man="1"/>
    <brk id="1098" man="1"/>
    <brk id="1137" man="1"/>
    <brk id="1173" man="1"/>
    <brk id="1209" man="1"/>
    <brk id="1245" man="1"/>
    <brk id="1281" man="1"/>
    <brk id="1317" man="1"/>
    <brk id="1353" man="1"/>
    <brk id="1381" man="1"/>
    <brk id="1420" man="1"/>
    <brk id="1456" man="1"/>
    <brk id="1492" man="1"/>
    <brk id="1528" man="1"/>
    <brk id="1564" man="1"/>
    <brk id="1600" man="1"/>
    <brk id="1636" man="1"/>
    <brk id="1664" man="1"/>
    <brk id="1703" man="1"/>
    <brk id="1739" man="1"/>
    <brk id="1775" man="1"/>
    <brk id="1811" man="1"/>
    <brk id="1847" man="1"/>
    <brk id="1883" man="1"/>
    <brk id="1919" man="1"/>
    <brk id="1947" man="1"/>
    <brk id="1986" man="1"/>
    <brk id="2022" man="1"/>
    <brk id="2058" man="1"/>
    <brk id="2094" man="1"/>
    <brk id="2130" man="1"/>
    <brk id="2166" man="1"/>
    <brk id="2202" man="1"/>
    <brk id="2230" man="1"/>
    <brk id="2269" man="1"/>
    <brk id="2305" man="1"/>
    <brk id="2341" man="1"/>
    <brk id="2377" man="1"/>
    <brk id="2413" man="1"/>
    <brk id="2449" man="1"/>
    <brk id="2485" man="1"/>
    <brk id="2513" man="1"/>
    <brk id="2552" man="1"/>
    <brk id="2588" man="1"/>
    <brk id="2624" man="1"/>
    <brk id="2660" man="1"/>
    <brk id="2696" man="1"/>
    <brk id="2732" man="1"/>
    <brk id="2768" man="1"/>
    <brk id="2796" man="1"/>
    <brk id="2835" man="1"/>
    <brk id="2871" man="1"/>
    <brk id="2907" man="1"/>
    <brk id="2943" man="1"/>
    <brk id="2979" man="1"/>
    <brk id="3015" man="1"/>
    <brk id="3051" man="1"/>
    <brk id="3079" man="1"/>
    <brk id="3118" man="1"/>
    <brk id="3154" man="1"/>
    <brk id="3190" man="1"/>
    <brk id="3226" man="1"/>
    <brk id="3262" man="1"/>
    <brk id="3298" man="1"/>
    <brk id="3334" man="1"/>
    <brk id="3362" man="1"/>
    <brk id="3398" man="1"/>
  </rowBreaks>
  <extLst>
    <ext uri="smNativeData">
      <pm:sheetPrefs xmlns:pm="smNativeData" day="166872470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helmut</cp:lastModifiedBy>
  <cp:revision>0</cp:revision>
  <dcterms:created xsi:type="dcterms:W3CDTF">2022-11-17T22:38:09Z</dcterms:created>
  <dcterms:modified xsi:type="dcterms:W3CDTF">2022-11-17T22:38:27Z</dcterms:modified>
</cp:coreProperties>
</file>