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Thomas Uwis"/>
  <workbookPr/>
  <bookViews>
    <workbookView activeTab="3" xWindow="240" yWindow="60" windowWidth="11580" windowHeight="6030" tabRatio="500"/>
  </bookViews>
  <sheets>
    <sheet name="Strom" sheetId="1" r:id="rId4"/>
    <sheet name="Wasser" sheetId="2" r:id="rId5"/>
    <sheet name="Heizöl" sheetId="3" r:id="rId6"/>
    <sheet name="Monatskosten SWÖ" sheetId="4" r:id="rId7"/>
  </sheets>
  <definedNames>
    <definedName name="_xlnm.Print_Area" localSheetId="2">Heizöl!$A$1:$S$90</definedName>
    <definedName name="_xlnm.Print_Area" localSheetId="3">'Monatskosten SWÖ'!$AO$1:$AU$26</definedName>
  </definedNames>
  <calcPr/>
  <extLst>
    <ext uri="smNativeData">
      <pm:revision xmlns:pm="smNativeData" day="1598996201" val="1018" rev="124" rev64="64" revOS="4" revMin="124" revMax="0"/>
      <pm:docPrefs xmlns:pm="smNativeData" id="1598996201" fixedDigits="0" showNotice="1" showFrameBounds="1" autoChart="1" recalcOnPrint="1" recalcOnCopy="1" finalRounding="1" compatTextArt="1" tab="567" useDefinedPrintRange="1" printArea="currentSheet"/>
      <pm:compatibility xmlns:pm="smNativeData" id="1598996201" overlapCells="1"/>
      <pm:defCurrency xmlns:pm="smNativeData" id="1598996201"/>
    </ext>
  </extLst>
</workbook>
</file>

<file path=xl/sharedStrings.xml><?xml version="1.0" encoding="utf-8"?>
<sst xmlns="http://schemas.openxmlformats.org/spreadsheetml/2006/main" count="423" uniqueCount="73">
  <si>
    <t>Jahr</t>
  </si>
  <si>
    <t>kWh</t>
  </si>
  <si>
    <t>Tage</t>
  </si>
  <si>
    <t>kWh pro Tag</t>
  </si>
  <si>
    <t>5-Jahr-Schnitt</t>
  </si>
  <si>
    <t>m³ pro Jahr</t>
  </si>
  <si>
    <t>3-Jahr-Schnitt</t>
  </si>
  <si>
    <t>l pro Person + Tag</t>
  </si>
  <si>
    <t>Befüllungs-datum</t>
  </si>
  <si>
    <r>
      <t>Menge (</t>
    </r>
    <r>
      <rPr>
        <rFont val="Times New Roman"/>
        <charset val="0"/>
        <family val="1"/>
        <sz val="10"/>
        <b val="0"/>
        <i/>
        <extLst>
          <ext uri="smNativeData">
            <pm:charSpec xmlns:pm="smNativeData" id="1598996201">
              <pm:latin face="Times New Roman" sz="200" weight="normal" i="1"/>
              <pm:cs/>
              <pm:ea/>
            </pm:charSpec>
          </ext>
        </extLst>
      </rPr>
      <t>l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8996201">
              <pm:latin face="Times New Roman" sz="200" weight="normal" i="0"/>
              <pm:cs/>
              <pm:ea/>
            </pm:charSpec>
          </ext>
        </extLst>
      </rPr>
      <t>)</t>
    </r>
  </si>
  <si>
    <t>Reichweite einer Füllung (Tage)</t>
  </si>
  <si>
    <r>
      <t>täglicher Füllungs-verbrauch (</t>
    </r>
    <r>
      <rPr>
        <rFont val="Times New Roman"/>
        <charset val="0"/>
        <family val="1"/>
        <sz val="10"/>
        <b val="0"/>
        <i/>
        <extLst>
          <ext uri="smNativeData">
            <pm:charSpec xmlns:pm="smNativeData" id="1598996201">
              <pm:latin face="Times New Roman" sz="200" weight="normal" i="1"/>
              <pm:cs/>
              <pm:ea/>
            </pm:charSpec>
          </ext>
        </extLst>
      </rPr>
      <t>l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8996201">
              <pm:latin face="Times New Roman" sz="200" weight="normal" i="0"/>
              <pm:cs/>
              <pm:ea/>
            </pm:charSpec>
          </ext>
        </extLst>
      </rPr>
      <t>)</t>
    </r>
  </si>
  <si>
    <t>Füllungsreich-weite im Jahr</t>
  </si>
  <si>
    <r>
      <t>Tagesver-brauch im Jahr (</t>
    </r>
    <r>
      <rPr>
        <rFont val="Times New Roman"/>
        <charset val="0"/>
        <family val="1"/>
        <sz val="10"/>
        <b val="0"/>
        <i/>
        <extLst>
          <ext uri="smNativeData">
            <pm:charSpec xmlns:pm="smNativeData" id="1598996201">
              <pm:latin face="Times New Roman" sz="200" weight="normal" i="1"/>
              <pm:cs/>
              <pm:ea/>
            </pm:charSpec>
          </ext>
        </extLst>
      </rPr>
      <t>l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8996201">
              <pm:latin face="Times New Roman" sz="200" weight="normal" i="0"/>
              <pm:cs/>
              <pm:ea/>
            </pm:charSpec>
          </ext>
        </extLst>
      </rPr>
      <t>)</t>
    </r>
  </si>
  <si>
    <r>
      <t>3-Jahres-Schnitt (</t>
    </r>
    <r>
      <rPr>
        <rFont val="Times New Roman"/>
        <charset val="0"/>
        <family val="1"/>
        <sz val="10"/>
        <b val="0"/>
        <i/>
        <extLst>
          <ext uri="smNativeData">
            <pm:charSpec xmlns:pm="smNativeData" id="1598996201">
              <pm:latin face="Times New Roman" sz="200" weight="normal" i="1"/>
              <pm:cs/>
              <pm:ea/>
            </pm:charSpec>
          </ext>
        </extLst>
      </rPr>
      <t>l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8996201">
              <pm:latin face="Times New Roman" sz="200" weight="normal" i="0"/>
              <pm:cs/>
              <pm:ea/>
            </pm:charSpec>
          </ext>
        </extLst>
      </rPr>
      <t>)</t>
    </r>
  </si>
  <si>
    <t>Rechnungs-betrag</t>
  </si>
  <si>
    <t>Preis pro Liter</t>
  </si>
  <si>
    <t>Jahres-kosten</t>
  </si>
  <si>
    <t>Monats-kosten</t>
  </si>
  <si>
    <t>alte F.</t>
  </si>
  <si>
    <t>neue F.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</si>
  <si>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</si>
  <si>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</si>
  <si>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</si>
  <si>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</si>
  <si>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</si>
  <si>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</si>
  <si>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</si>
  <si>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</si>
  <si>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</si>
  <si>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</si>
  <si>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</si>
  <si>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</si>
  <si>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</si>
  <si>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</si>
  <si>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</si>
  <si>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</si>
  <si>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Monatliche Kosten für Elektizität, Trinkwasser + Heizöl 2015</t>
  </si>
  <si>
    <t>Monatliche Kosten für Elektizität, Trinkwasser + Heizöl 2016</t>
  </si>
  <si>
    <t>Monatliche Kosten für Elektizität, Trinkwasser + Heizöl 2017</t>
  </si>
  <si>
    <t>Monatliche Kosten für Elektizität, Trinkwasser + Heizöl 2018</t>
  </si>
  <si>
    <t>Monatliche Kosten für Elektizität, Trinkwasser + Heizöl 2019</t>
  </si>
  <si>
    <t>Monatliche Kosten für Elektizität, Trinkwasser + Heizöl 2020</t>
  </si>
  <si>
    <t>Monat</t>
  </si>
  <si>
    <t>Zählerstand</t>
  </si>
  <si>
    <t>Monats-
verbrauch</t>
  </si>
  <si>
    <t>Tages-
verbrauch</t>
  </si>
  <si>
    <t>Kosten</t>
  </si>
  <si>
    <t>Gesamt-
kosten</t>
  </si>
  <si>
    <t>Januar</t>
  </si>
  <si>
    <t>Elektrizität (kWh)</t>
  </si>
  <si>
    <r>
      <t>Wasser (</t>
    </r>
    <r>
      <rPr>
        <rFont val="Times New Roman"/>
        <charset val="0"/>
        <family val="1"/>
        <sz val="10"/>
        <b val="0"/>
        <i/>
        <extLst>
          <ext uri="smNativeData">
            <pm:charSpec xmlns:pm="smNativeData" id="1598996201">
              <pm:latin face="Times New Roman" sz="200" weight="normal" i="1"/>
              <pm:cs/>
              <pm:ea/>
            </pm:charSpec>
          </ext>
        </extLst>
      </rPr>
      <t>l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8996201">
              <pm:latin face="Times New Roman" sz="200" weight="normal" i="0"/>
              <pm:cs/>
              <pm:ea/>
            </pm:charSpec>
          </ext>
        </extLst>
      </rPr>
      <t>)</t>
    </r>
  </si>
  <si>
    <r>
      <t>Heizöl (</t>
    </r>
    <r>
      <rPr>
        <rFont val="Times New Roman"/>
        <charset val="0"/>
        <family val="1"/>
        <sz val="10"/>
        <b val="0"/>
        <i/>
        <extLst>
          <ext uri="smNativeData">
            <pm:charSpec xmlns:pm="smNativeData" id="1598996201">
              <pm:latin face="Times New Roman" sz="200" weight="normal" i="1"/>
              <pm:cs/>
              <pm:ea/>
            </pm:charSpec>
          </ext>
        </extLst>
      </rPr>
      <t>l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8996201">
              <pm:latin face="Times New Roman" sz="200" weight="normal" i="0"/>
              <pm:cs/>
              <pm:ea/>
            </pm:charSpec>
          </ext>
        </extLst>
      </rPr>
      <t>)</t>
    </r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</si>
  <si>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</si>
  <si>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</si>
  <si>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</si>
  <si>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</si>
  <si>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</si>
  <si>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</si>
  <si>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</si>
  <si>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</si>
  <si>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</si>
  <si>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</si>
  <si>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</si>
  <si>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Jahres-
verbrauch</t>
  </si>
  <si>
    <t>Durchschnitt</t>
  </si>
  <si>
    <t>Wasser (l)</t>
  </si>
  <si>
    <t>Heizöl (l)</t>
  </si>
  <si>
    <r>
      <t>1cm = 27,778</t>
    </r>
    <r>
      <rPr>
        <rFont val="Times New Roman"/>
        <charset val="0"/>
        <family val="1"/>
        <sz val="10"/>
        <b val="0"/>
        <i/>
        <extLst>
          <ext uri="smNativeData">
            <pm:charSpec xmlns:pm="smNativeData" id="1598996201">
              <pm:latin face="Times New Roman" sz="200" weight="normal" i="1"/>
              <pm:cs/>
              <pm:ea/>
            </pm:charSpec>
          </ext>
        </extLst>
      </rPr>
      <t>l</t>
    </r>
  </si>
  <si>
    <r>
      <t xml:space="preserve">200 </t>
    </r>
    <r>
      <rPr>
        <rFont val="Times New Roman"/>
        <charset val="0"/>
        <family val="1"/>
        <sz val="10"/>
        <b val="0"/>
        <i/>
        <extLst>
          <ext uri="smNativeData">
            <pm:charSpec xmlns:pm="smNativeData" id="1598996201">
              <pm:latin face="Times New Roman" sz="200" weight="normal" i="1"/>
              <pm:cs/>
              <pm:ea/>
            </pm:charSpec>
          </ext>
        </extLst>
      </rPr>
      <t>l</t>
    </r>
    <r>
      <rPr>
        <rFont val="Times New Roman"/>
        <charset val="0"/>
        <family val="1"/>
        <sz val="10"/>
        <b val="0"/>
        <i val="0"/>
        <extLst>
          <ext uri="smNativeData">
            <pm:charSpec xmlns:pm="smNativeData" id="1598996201">
              <pm:latin face="Times New Roman" sz="200" weight="normal" i="0"/>
              <pm:cs/>
              <pm:ea/>
            </pm:charSpec>
          </ext>
        </extLst>
      </rPr>
      <t xml:space="preserve"> =
7,2 cm</t>
    </r>
  </si>
  <si>
    <t>Vergleich des monatlichen Verbrauchs</t>
  </si>
  <si>
    <t>Vergleich des Jahresverbrauchs</t>
  </si>
  <si>
    <t>Kostenentwicklung</t>
  </si>
</sst>
</file>

<file path=xl/styles.xml><?xml version="1.0" encoding="utf-8"?>
<styleSheet xmlns="http://schemas.openxmlformats.org/spreadsheetml/2006/main">
  <numFmts count="16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  <numFmt numFmtId="165" formatCode="#,##0.00\ &quot;€&quot;"/>
    <numFmt numFmtId="166" formatCode="#,##0.0"/>
    <numFmt numFmtId="14" formatCode="DD/MM/YYYY"/>
    <numFmt numFmtId="49" formatCode="@"/>
    <numFmt numFmtId="2" formatCode="0.00"/>
    <numFmt numFmtId="3" formatCode="#,##0"/>
    <numFmt numFmtId="1" formatCode="0"/>
  </numFmts>
  <fonts count="6">
    <font>
      <name val="Times New Roman"/>
      <family val="1"/>
      <color rgb="FF000000"/>
      <sz val="10"/>
      <extLst>
        <ext uri="smNativeData">
          <pm:charSpec xmlns:pm="smNativeData" id="1598996201" ulstyle="none" kern="1">
            <pm:latin face="Times New Roman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59899620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Times New Roman"/>
      <family val="1"/>
      <i/>
      <color rgb="FF000000"/>
      <sz val="10"/>
      <extLst>
        <ext uri="smNativeData">
          <pm:charSpec xmlns:pm="smNativeData" id="1598996201" ulstyle="none" kern="1">
            <pm:latin face="Times New Roman" sz="200" lang="default" i="1"/>
            <pm:cs face="Times New Roman" sz="200" lang="default" i="1"/>
            <pm:ea face="SimSun" sz="200" lang="default" i="1"/>
          </pm:charSpec>
        </ext>
      </extLst>
    </font>
    <font>
      <name val="Times New Roman"/>
      <family val="1"/>
      <b/>
      <color rgb="FF000000"/>
      <sz val="10"/>
      <extLst>
        <ext uri="smNativeData">
          <pm:charSpec xmlns:pm="smNativeData" id="1598996201" ulstyle="none" kern="1">
            <pm:latin face="Times New Roman" sz="200" lang="default" weight="bold"/>
            <pm:cs face="Times New Roman" sz="200" lang="default" weight="bold"/>
            <pm:ea face="SimSun" sz="200" lang="default" weight="bold"/>
          </pm:charSpec>
        </ext>
      </extLst>
    </font>
    <font>
      <name val="Times New Roman"/>
      <family val="1"/>
      <b/>
      <color rgb="FF000000"/>
      <sz val="14"/>
      <extLst>
        <ext uri="smNativeData">
          <pm:charSpec xmlns:pm="smNativeData" id="1598996201" ulstyle="none" kern="1">
            <pm:latin face="Times New Roman" sz="280" lang="default" weight="bold"/>
            <pm:cs face="Times New Roman" sz="280" lang="default" weight="bold"/>
            <pm:ea face="SimSun" sz="280" lang="default" weight="bold"/>
          </pm:charSpec>
        </ext>
      </extLst>
    </font>
    <font>
      <name val="Times New Roman"/>
      <family val="1"/>
      <i/>
      <color rgb="FF000000"/>
      <sz val="10"/>
      <extLst>
        <ext uri="smNativeData">
          <pm:charSpec xmlns:pm="smNativeData" id="1598996201" ulstyle="none" kern="1">
            <pm:latin face="Times New Roman" sz="200" lang="default" i="1"/>
            <pm:cs face="Times New Roman" sz="200" lang="default"/>
            <pm:ea face="SimSun" sz="200" lang="default"/>
          </pm:charSpec>
        </ext>
      </extLst>
    </font>
  </fonts>
  <fills count="37">
    <fill>
      <patternFill patternType="none"/>
    </fill>
    <fill>
      <patternFill patternType="gray125"/>
    </fill>
    <fill>
      <patternFill patternType="solid">
        <fgColor rgb="FFDCE6F1"/>
        <bgColor rgb="FFFFFFFF"/>
        <extLst>
          <ext uri="smNativeData">
            <pm:shade xmlns:pm="smNativeData" id="1598996201" type="1" fgLvl="100" fgClr="00DCE6F1" bgLvl="0" bgClr="00FFFFFF"/>
          </ext>
        </extLst>
      </patternFill>
    </fill>
    <fill>
      <patternFill patternType="none"/>
    </fill>
    <fill>
      <patternFill patternType="solid">
        <fgColor rgb="FFC0C0C0"/>
        <bgColor rgb="FFFFFFFF"/>
        <extLst>
          <ext uri="smNativeData">
            <pm:shade xmlns:pm="smNativeData" id="1598996201" type="1" fgLvl="100" fgClr="00C0C0C0" bgLvl="0" bgClr="00000000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9EFF9E"/>
        <bgColor rgb="FFFFFFFF"/>
        <extLst>
          <ext uri="smNativeData">
            <pm:shade xmlns:pm="smNativeData" id="1598996201" type="1" fgLvl="38" fgClr="0000FF00" bgLvl="0" bgClr="00FFFFFF"/>
          </ext>
        </extLst>
      </patternFill>
    </fill>
    <fill>
      <patternFill patternType="solid">
        <fgColor rgb="FF9EFF9E"/>
        <bgColor rgb="FFFFFFFF"/>
        <extLst>
          <ext uri="smNativeData">
            <pm:shade xmlns:pm="smNativeData" id="1598996201" type="1" fgLvl="38" fgClr="0000FF00" bgLvl="0" bgClr="00FFFFFF"/>
          </ext>
        </extLst>
      </patternFill>
    </fill>
    <fill>
      <patternFill patternType="solid">
        <fgColor rgb="FF9EFF9E"/>
        <bgColor rgb="FFFFFFFF"/>
        <extLst>
          <ext uri="smNativeData">
            <pm:shade xmlns:pm="smNativeData" id="1598996201" type="1" fgLvl="38" fgClr="0000FF00" bgLvl="0" bgClr="00FFFFFF"/>
          </ext>
        </extLst>
      </patternFill>
    </fill>
    <fill>
      <patternFill patternType="solid">
        <fgColor rgb="FF9EFF9E"/>
        <bgColor rgb="FFFFFFFF"/>
        <extLst>
          <ext uri="smNativeData">
            <pm:shade xmlns:pm="smNativeData" id="1598996201" type="1" fgLvl="38" fgClr="0000FF00" bgLvl="0" bgClr="00FFFFFF"/>
          </ext>
        </extLst>
      </patternFill>
    </fill>
    <fill>
      <patternFill patternType="solid">
        <fgColor rgb="FF9EFF9E"/>
        <bgColor rgb="FFFFFFFF"/>
        <extLst>
          <ext uri="smNativeData">
            <pm:shade xmlns:pm="smNativeData" id="1598996201" type="1" fgLvl="38" fgClr="0000FF00" bgLvl="0" bgClr="00FFFFFF"/>
          </ext>
        </extLst>
      </patternFill>
    </fill>
    <fill>
      <patternFill patternType="solid">
        <fgColor rgb="FF9EFF9E"/>
        <bgColor rgb="FFFFFFFF"/>
        <extLst>
          <ext uri="smNativeData">
            <pm:shade xmlns:pm="smNativeData" id="1598996201" type="1" fgLvl="38" fgClr="0000FF00" bgLvl="0" bgClr="00FFFFFF"/>
          </ext>
        </extLst>
      </patternFill>
    </fill>
    <fill>
      <patternFill patternType="solid">
        <fgColor rgb="FF9EFF9E"/>
        <bgColor rgb="FFFFFFFF"/>
        <extLst>
          <ext uri="smNativeData">
            <pm:shade xmlns:pm="smNativeData" id="1598996201" type="1" fgLvl="38" fgClr="0000FF00" bgLvl="0" bgClr="00FFFFFF"/>
          </ext>
        </extLst>
      </patternFill>
    </fill>
    <fill>
      <patternFill patternType="solid">
        <fgColor rgb="FF9EFF9E"/>
        <bgColor rgb="FFFFFFFF"/>
        <extLst>
          <ext uri="smNativeData">
            <pm:shade xmlns:pm="smNativeData" id="1598996201" type="1" fgLvl="38" fgClr="0000FF00" bgLvl="0" bgClr="00FFFFFF"/>
          </ext>
        </extLst>
      </patternFill>
    </fill>
    <fill>
      <patternFill patternType="solid">
        <fgColor rgb="FF9EFF9E"/>
        <bgColor rgb="FFFFFFFF"/>
        <extLst>
          <ext uri="smNativeData">
            <pm:shade xmlns:pm="smNativeData" id="1598996201" type="1" fgLvl="38" fgClr="0000FF00" bgLvl="0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598996201" type="1" fgLvl="38" fgClr="00FFFF00" bgLvl="0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598996201" type="1" fgLvl="38" fgClr="00FFFF00" bgLvl="0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598996201" type="1" fgLvl="38" fgClr="00FFFF00" bgLvl="0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598996201" type="1" fgLvl="38" fgClr="00FFFF00" bgLvl="0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598996201" type="1" fgLvl="38" fgClr="00FFFF00" bgLvl="0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598996201" type="1" fgLvl="38" fgClr="00FFFF00" bgLvl="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98996201" type="1" fgLvl="100" fgClr="00FFFFFF" bgLvl="100" bgClr="00000000"/>
          </ext>
        </extLst>
      </patternFill>
    </fill>
    <fill>
      <patternFill patternType="solid">
        <fgColor rgb="FFBFFFBF"/>
        <bgColor rgb="FFFFFFFF"/>
        <extLst>
          <ext uri="smNativeData">
            <pm:shade xmlns:pm="smNativeData" id="1598996201" type="1" fgLvl="25" fgClr="0000FF00" bgLvl="0" bgClr="00FFFFFF"/>
          </ext>
        </extLst>
      </patternFill>
    </fill>
    <fill>
      <patternFill patternType="solid">
        <fgColor rgb="FFBFFFBF"/>
        <bgColor rgb="FFFFFFFF"/>
        <extLst>
          <ext uri="smNativeData">
            <pm:shade xmlns:pm="smNativeData" id="1598996201" type="1" fgLvl="25" fgClr="0000FF00" bgLvl="0" bgClr="00FFFFFF"/>
          </ext>
        </extLst>
      </patternFill>
    </fill>
    <fill>
      <patternFill patternType="solid">
        <fgColor rgb="FFBFFFBF"/>
        <bgColor rgb="FFFFFFFF"/>
        <extLst>
          <ext uri="smNativeData">
            <pm:shade xmlns:pm="smNativeData" id="1598996201" type="1" fgLvl="25" fgClr="0000FF00" bgLvl="0" bgClr="00FFFFFF"/>
          </ext>
        </extLst>
      </patternFill>
    </fill>
    <fill>
      <patternFill patternType="solid">
        <fgColor rgb="FFBFFFBF"/>
        <bgColor rgb="FFFFFFFF"/>
        <extLst>
          <ext uri="smNativeData">
            <pm:shade xmlns:pm="smNativeData" id="1598996201" type="1" fgLvl="25" fgClr="0000FF00" bgLvl="0" bgClr="00FFFFFF"/>
          </ext>
        </extLst>
      </patternFill>
    </fill>
    <fill>
      <patternFill patternType="solid">
        <fgColor rgb="FFBFFFBF"/>
        <bgColor rgb="FFFFFFFF"/>
        <extLst>
          <ext uri="smNativeData">
            <pm:shade xmlns:pm="smNativeData" id="1598996201" type="1" fgLvl="25" fgClr="0000FF00" bgLvl="0" bgClr="00FFFFFF"/>
          </ext>
        </extLst>
      </patternFill>
    </fill>
    <fill>
      <patternFill patternType="solid">
        <fgColor rgb="FFBFFFBF"/>
        <bgColor rgb="FFFFFFFF"/>
        <extLst>
          <ext uri="smNativeData">
            <pm:shade xmlns:pm="smNativeData" id="1598996201" type="1" fgLvl="25" fgClr="0000FF00" bgLvl="0" bgClr="00FFFFFF"/>
          </ext>
        </extLst>
      </patternFill>
    </fill>
    <fill>
      <patternFill patternType="solid">
        <fgColor rgb="FFBFFFBF"/>
        <bgColor rgb="FFFFFFFF"/>
        <extLst>
          <ext uri="smNativeData">
            <pm:shade xmlns:pm="smNativeData" id="1598996201" type="1" fgLvl="25" fgClr="0000FF00" bgLvl="0" bgClr="00FFFFFF"/>
          </ext>
        </extLst>
      </patternFill>
    </fill>
    <fill>
      <patternFill patternType="solid">
        <fgColor rgb="FFBFFFBF"/>
        <bgColor rgb="FFFFFFFF"/>
        <extLst>
          <ext uri="smNativeData">
            <pm:shade xmlns:pm="smNativeData" id="1598996201" type="1" fgLvl="25" fgClr="0000FF00" bgLvl="0" bgClr="00FFFFFF"/>
          </ext>
        </extLst>
      </patternFill>
    </fill>
    <fill>
      <patternFill patternType="solid">
        <fgColor rgb="FFBFFFBF"/>
        <bgColor rgb="FFFFFFFF"/>
        <extLst>
          <ext uri="smNativeData">
            <pm:shade xmlns:pm="smNativeData" id="1598996201" type="1" fgLvl="25" fgClr="0000FF00" bgLvl="0" bgClr="00FFFFFF"/>
          </ext>
        </extLst>
      </patternFill>
    </fill>
  </fills>
  <borders count="36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899620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8996201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8996201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98996201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8996201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dashed">
        <color rgb="FF000000"/>
      </bottom>
      <extLst>
        <ext uri="smNativeData">
          <pm:border xmlns:pm="smNativeData" id="1598996201">
            <pm:line position="top" type="1" style="0" width="20" dist="20" width2="20" rgb="000000"/>
            <pm:line position="bottom" type="1" style="2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extLst>
        <ext uri="smNativeData">
          <pm:border xmlns:pm="smNativeData" id="1598996201">
            <pm:line position="top" type="1" style="2" width="20" dist="20" width2="20" rgb="000000"/>
            <pm:line position="bottom" type="1" style="2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ashed">
        <color rgb="FF000000"/>
      </top>
      <bottom style="thin">
        <color rgb="FF000000"/>
      </bottom>
      <extLst>
        <ext uri="smNativeData">
          <pm:border xmlns:pm="smNativeData" id="1598996201">
            <pm:line position="top" type="1" style="2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8996201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98996201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8996201">
            <pm:line position="bottom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98996201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dashed">
        <color rgb="FF000000"/>
      </bottom>
      <extLst>
        <ext uri="smNativeData">
          <pm:border xmlns:pm="smNativeData" id="1598996201">
            <pm:line position="top" type="1" style="0" width="20" dist="20" width2="20" rgb="000000"/>
            <pm:line position="bottom" type="1" style="2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598996201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8996201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extLst>
        <ext uri="smNativeData">
          <pm:border xmlns:pm="smNativeData" id="1598996201">
            <pm:line position="top" type="1" style="2" width="20" dist="20" width2="20" rgb="000000"/>
            <pm:line position="bottom" type="1" style="2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598996201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8996201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ashed">
        <color rgb="FF000000"/>
      </top>
      <bottom style="thin">
        <color rgb="FF000000"/>
      </bottom>
      <extLst>
        <ext uri="smNativeData">
          <pm:border xmlns:pm="smNativeData" id="1598996201">
            <pm:line position="top" type="1" style="2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598996201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98996201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dashed">
        <color rgb="FF000000"/>
      </bottom>
      <extLst>
        <ext uri="smNativeData">
          <pm:border xmlns:pm="smNativeData" id="1598996201">
            <pm:line position="top" type="1" style="0" width="20" dist="20" width2="20" rgb="000000"/>
            <pm:line position="bottom" type="1" style="2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8996201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extLst>
        <ext uri="smNativeData">
          <pm:border xmlns:pm="smNativeData" id="1598996201">
            <pm:line position="top" type="1" style="2" width="20" dist="20" width2="20" rgb="000000"/>
            <pm:line position="bottom" type="1" style="2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8996201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ashed">
        <color rgb="FF000000"/>
      </top>
      <bottom style="thin">
        <color rgb="FF000000"/>
      </bottom>
      <extLst>
        <ext uri="smNativeData">
          <pm:border xmlns:pm="smNativeData" id="1598996201">
            <pm:line position="top" type="1" style="2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8996201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598996201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98996201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98996201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dashed">
        <color rgb="FF000000"/>
      </bottom>
      <extLst>
        <ext uri="smNativeData">
          <pm:border xmlns:pm="smNativeData" id="1598996201">
            <pm:line position="top" type="1" style="0" width="20" dist="20" width2="20" rgb="000000"/>
            <pm:line position="bottom" type="1" style="2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  <extLst>
        <ext uri="smNativeData">
          <pm:border xmlns:pm="smNativeData" id="1598996201">
            <pm:line position="top" type="1" style="0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extLst>
        <ext uri="smNativeData">
          <pm:border xmlns:pm="smNativeData" id="1598996201">
            <pm:line position="top" type="1" style="2" width="20" dist="20" width2="20" rgb="000000"/>
            <pm:line position="bottom" type="1" style="2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  <extLst>
        <ext uri="smNativeData">
          <pm:border xmlns:pm="smNativeData" id="1598996201">
            <pm:line position="top" type="1" style="1" width="20" dist="20" width2="20" rgb="000000"/>
            <pm:line position="bottom" type="1" style="1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ashed">
        <color rgb="FF000000"/>
      </top>
      <bottom style="thin">
        <color rgb="FF000000"/>
      </bottom>
      <extLst>
        <ext uri="smNativeData">
          <pm:border xmlns:pm="smNativeData" id="1598996201">
            <pm:line position="top" type="1" style="2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extLst>
        <ext uri="smNativeData">
          <pm:border xmlns:pm="smNativeData" id="1598996201">
            <pm:line position="top" type="1" style="1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</borders>
  <cellStyleXfs count="2">
    <xf numFmtId="0" fontId="0" fillId="0" borderId="0" applyNumberFormat="1" applyFont="1" applyFill="1" applyBorder="1" applyAlignment="1" applyProtection="1"/>
    <xf numFmtId="0" fontId="0" fillId="2" borderId="1" applyNumberFormat="0" applyFont="1" applyFill="1" applyBorder="0" applyAlignment="0" applyProtection="0"/>
  </cellStyleXfs>
  <cellXfs count="81">
    <xf numFmtId="0" fontId="0" fillId="0" borderId="0" xfId="0"/>
    <xf numFmtId="0" fontId="0" fillId="2" borderId="1" xfId="1"/>
    <xf numFmtId="0" fontId="0" fillId="0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2" xfId="0" applyNumberFormat="1" applyFill="1" applyBorder="1" applyAlignment="1">
      <alignment horizontal="center"/>
    </xf>
    <xf numFmtId="49" fontId="0" fillId="0" borderId="2" xfId="0" applyNumberFormat="1" applyFill="1" applyBorder="1" applyAlignment="1">
      <alignment horizontal="center"/>
    </xf>
    <xf numFmtId="49" fontId="3" fillId="0" borderId="2" xfId="0" applyNumberFormat="1" applyFont="1" applyFill="1" applyBorder="1" applyAlignment="1">
      <alignment horizontal="center"/>
    </xf>
    <xf numFmtId="2" fontId="0" fillId="0" borderId="2" xfId="0" applyNumberForma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165" fontId="0" fillId="0" borderId="2" xfId="0" applyNumberFormat="1" applyFill="1" applyBorder="1" applyAlignment="1">
      <alignment horizontal="right"/>
    </xf>
    <xf numFmtId="0" fontId="0" fillId="4" borderId="3" xfId="0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2" fontId="0" fillId="0" borderId="2" xfId="0" applyNumberFormat="1" applyFill="1" applyBorder="1" applyAlignment="1">
      <alignment horizontal="center" vertical="center"/>
    </xf>
    <xf numFmtId="164" fontId="0" fillId="0" borderId="2" xfId="0" applyNumberFormat="1" applyFill="1" applyBorder="1" applyAlignment="1">
      <alignment horizontal="right" indent="1"/>
      <extLst>
        <ext uri="smNativeData">
          <pm:cellMargin xmlns:pm="smNativeData" id="1598996201" l="0" r="192" t="0" b="0" textRotation="0"/>
        </ext>
      </extLst>
    </xf>
    <xf numFmtId="2" fontId="0" fillId="0" borderId="2" xfId="0" applyNumberFormat="1" applyFill="1" applyBorder="1" applyAlignment="1">
      <alignment horizontal="right" indent="1"/>
      <extLst>
        <ext uri="smNativeData">
          <pm:cellMargin xmlns:pm="smNativeData" id="1598996201" l="0" r="192" t="0" b="0" textRotation="0"/>
        </ext>
      </extLst>
    </xf>
    <xf numFmtId="0" fontId="0" fillId="0" borderId="2" xfId="0" applyFill="1" applyBorder="1" applyAlignment="1">
      <alignment horizontal="right" indent="2"/>
      <extLst>
        <ext uri="smNativeData">
          <pm:cellMargin xmlns:pm="smNativeData" id="1598996201" l="0" r="384" t="0" b="0" textRotation="0"/>
        </ext>
      </extLst>
    </xf>
    <xf numFmtId="0" fontId="0" fillId="0" borderId="2" xfId="0" applyFill="1" applyBorder="1" applyAlignment="1">
      <alignment vertical="center"/>
    </xf>
    <xf numFmtId="0" fontId="0" fillId="0" borderId="2" xfId="0" applyFill="1" applyBorder="1" applyAlignment="1">
      <alignment horizontal="center" vertical="center" wrapText="1"/>
    </xf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0" xfId="0" applyAlignment="1">
      <alignment horizontal="center" vertical="center" wrapText="1"/>
    </xf>
    <xf numFmtId="164" fontId="0" fillId="0" borderId="5" xfId="0" applyNumberFormat="1" applyFill="1" applyBorder="1" applyAlignment="1">
      <alignment horizontal="right" vertical="center" indent="1"/>
      <extLst>
        <ext uri="smNativeData">
          <pm:cellMargin xmlns:pm="smNativeData" id="1598996201" l="0" r="192" t="0" b="0" textRotation="0"/>
        </ext>
      </extLst>
    </xf>
    <xf numFmtId="165" fontId="0" fillId="0" borderId="5" xfId="0" applyNumberFormat="1" applyFill="1" applyBorder="1" applyAlignment="1">
      <alignment horizontal="right" vertical="center" indent="1"/>
      <extLst>
        <ext uri="smNativeData">
          <pm:cellMargin xmlns:pm="smNativeData" id="1598996201" l="0" r="192" t="0" b="0" textRotation="0"/>
        </ext>
      </extLst>
    </xf>
    <xf numFmtId="3" fontId="0" fillId="0" borderId="6" xfId="0" applyNumberFormat="1" applyFill="1" applyBorder="1" applyAlignment="1">
      <alignment horizontal="right" vertical="center" indent="1"/>
      <extLst>
        <ext uri="smNativeData">
          <pm:cellMargin xmlns:pm="smNativeData" id="1598996201" l="0" r="192" t="0" b="0" textRotation="0"/>
        </ext>
      </extLst>
    </xf>
    <xf numFmtId="1" fontId="0" fillId="0" borderId="6" xfId="0" applyNumberFormat="1" applyFill="1" applyBorder="1" applyAlignment="1">
      <alignment horizontal="right" vertical="center" indent="1"/>
      <extLst>
        <ext uri="smNativeData">
          <pm:cellMargin xmlns:pm="smNativeData" id="1598996201" l="0" r="192" t="0" b="0" textRotation="0"/>
        </ext>
      </extLst>
    </xf>
    <xf numFmtId="165" fontId="0" fillId="0" borderId="6" xfId="0" applyNumberFormat="1" applyFill="1" applyBorder="1" applyAlignment="1">
      <alignment horizontal="right" vertical="center" indent="1"/>
      <extLst>
        <ext uri="smNativeData">
          <pm:cellMargin xmlns:pm="smNativeData" id="1598996201" l="0" r="192" t="0" b="0" textRotation="0"/>
        </ext>
      </extLst>
    </xf>
    <xf numFmtId="2" fontId="0" fillId="0" borderId="7" xfId="0" applyNumberFormat="1" applyFill="1" applyBorder="1" applyAlignment="1">
      <alignment horizontal="right" vertical="center" indent="1"/>
      <extLst>
        <ext uri="smNativeData">
          <pm:cellMargin xmlns:pm="smNativeData" id="1598996201" l="0" r="192" t="0" b="0" textRotation="0"/>
        </ext>
      </extLst>
    </xf>
    <xf numFmtId="165" fontId="0" fillId="0" borderId="7" xfId="0" applyNumberFormat="1" applyFill="1" applyBorder="1" applyAlignment="1">
      <alignment horizontal="right" vertical="center" indent="1"/>
      <extLst>
        <ext uri="smNativeData">
          <pm:cellMargin xmlns:pm="smNativeData" id="1598996201" l="0" r="192" t="0" b="0" textRotation="0"/>
        </ext>
      </extLst>
    </xf>
    <xf numFmtId="166" fontId="0" fillId="0" borderId="5" xfId="0" applyNumberFormat="1" applyFill="1" applyBorder="1" applyAlignment="1">
      <alignment horizontal="right" vertical="center" indent="1"/>
      <extLst>
        <ext uri="smNativeData">
          <pm:cellMargin xmlns:pm="smNativeData" id="1598996201" l="0" r="192" t="0" b="0" textRotation="0"/>
        </ext>
      </extLst>
    </xf>
    <xf numFmtId="165" fontId="0" fillId="0" borderId="8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 wrapText="1"/>
    </xf>
    <xf numFmtId="165" fontId="0" fillId="0" borderId="8" xfId="1" applyNumberForma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165" fontId="0" fillId="0" borderId="9" xfId="0" applyNumberFormat="1" applyFill="1" applyBorder="1" applyAlignment="1">
      <alignment horizontal="center" vertical="center"/>
    </xf>
    <xf numFmtId="165" fontId="0" fillId="0" borderId="4" xfId="0" applyNumberFormat="1" applyFill="1" applyBorder="1" applyAlignment="1">
      <alignment horizontal="center" vertical="center"/>
    </xf>
    <xf numFmtId="49" fontId="0" fillId="0" borderId="9" xfId="0" applyNumberFormat="1" applyFill="1" applyBorder="1" applyAlignment="1">
      <alignment horizontal="center" vertical="center" wrapText="1"/>
    </xf>
    <xf numFmtId="49" fontId="0" fillId="0" borderId="8" xfId="0" applyNumberForma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49" fontId="0" fillId="21" borderId="20" xfId="1" applyNumberFormat="1" applyFill="1" applyBorder="1" applyAlignment="1">
      <alignment horizontal="center" vertical="center" wrapText="1"/>
    </xf>
    <xf numFmtId="0" fontId="0" fillId="22" borderId="21" xfId="1" applyFill="1" applyBorder="1"/>
    <xf numFmtId="166" fontId="0" fillId="22" borderId="21" xfId="1" applyNumberFormat="1" applyFill="1" applyBorder="1" applyAlignment="1">
      <alignment horizontal="right" vertical="center" indent="1"/>
      <extLst>
        <ext uri="smNativeData">
          <pm:cellMargin xmlns:pm="smNativeData" id="1598996201" l="0" r="192" t="0" b="0" textRotation="0"/>
        </ext>
      </extLst>
    </xf>
    <xf numFmtId="164" fontId="0" fillId="22" borderId="21" xfId="1" applyNumberFormat="1" applyFill="1" applyBorder="1" applyAlignment="1">
      <alignment horizontal="right" vertical="center" indent="1"/>
      <extLst>
        <ext uri="smNativeData">
          <pm:cellMargin xmlns:pm="smNativeData" id="1598996201" l="0" r="192" t="0" b="0" textRotation="0"/>
        </ext>
      </extLst>
    </xf>
    <xf numFmtId="165" fontId="0" fillId="22" borderId="21" xfId="1" applyNumberFormat="1" applyFill="1" applyBorder="1" applyAlignment="1">
      <alignment horizontal="right" vertical="center" indent="1"/>
      <extLst>
        <ext uri="smNativeData">
          <pm:cellMargin xmlns:pm="smNativeData" id="1598996201" l="0" r="192" t="0" b="0" textRotation="0"/>
        </ext>
      </extLst>
    </xf>
    <xf numFmtId="165" fontId="0" fillId="21" borderId="20" xfId="1" applyNumberFormat="1" applyFill="1" applyBorder="1" applyAlignment="1">
      <alignment horizontal="center" vertical="center"/>
    </xf>
    <xf numFmtId="49" fontId="0" fillId="23" borderId="22" xfId="1" applyNumberFormat="1" applyFill="1" applyBorder="1" applyAlignment="1">
      <alignment horizontal="center" vertical="center" wrapText="1"/>
    </xf>
    <xf numFmtId="0" fontId="0" fillId="24" borderId="23" xfId="1" applyFill="1" applyBorder="1"/>
    <xf numFmtId="3" fontId="0" fillId="24" borderId="23" xfId="1" applyNumberFormat="1" applyFill="1" applyBorder="1" applyAlignment="1">
      <alignment horizontal="right" vertical="center" indent="1"/>
      <extLst>
        <ext uri="smNativeData">
          <pm:cellMargin xmlns:pm="smNativeData" id="1598996201" l="0" r="192" t="0" b="0" textRotation="0"/>
        </ext>
      </extLst>
    </xf>
    <xf numFmtId="1" fontId="0" fillId="24" borderId="23" xfId="1" applyNumberFormat="1" applyFill="1" applyBorder="1" applyAlignment="1">
      <alignment horizontal="right" vertical="center" indent="1"/>
      <extLst>
        <ext uri="smNativeData">
          <pm:cellMargin xmlns:pm="smNativeData" id="1598996201" l="0" r="192" t="0" b="0" textRotation="0"/>
        </ext>
      </extLst>
    </xf>
    <xf numFmtId="165" fontId="0" fillId="24" borderId="23" xfId="1" applyNumberFormat="1" applyFill="1" applyBorder="1" applyAlignment="1">
      <alignment horizontal="right" vertical="center" indent="1"/>
      <extLst>
        <ext uri="smNativeData">
          <pm:cellMargin xmlns:pm="smNativeData" id="1598996201" l="0" r="192" t="0" b="0" textRotation="0"/>
        </ext>
      </extLst>
    </xf>
    <xf numFmtId="165" fontId="0" fillId="23" borderId="22" xfId="1" applyNumberFormat="1" applyFill="1" applyBorder="1" applyAlignment="1">
      <alignment horizontal="center" vertical="center"/>
    </xf>
    <xf numFmtId="49" fontId="0" fillId="25" borderId="24" xfId="1" applyNumberFormat="1" applyFill="1" applyBorder="1" applyAlignment="1">
      <alignment horizontal="center" vertical="center" wrapText="1"/>
    </xf>
    <xf numFmtId="0" fontId="0" fillId="26" borderId="25" xfId="1" applyFill="1" applyBorder="1"/>
    <xf numFmtId="2" fontId="0" fillId="26" borderId="25" xfId="1" applyNumberFormat="1" applyFill="1" applyBorder="1" applyAlignment="1">
      <alignment horizontal="right" vertical="center" indent="1"/>
      <extLst>
        <ext uri="smNativeData">
          <pm:cellMargin xmlns:pm="smNativeData" id="1598996201" l="0" r="192" t="0" b="0" textRotation="0"/>
        </ext>
      </extLst>
    </xf>
    <xf numFmtId="165" fontId="0" fillId="26" borderId="25" xfId="1" applyNumberFormat="1" applyFill="1" applyBorder="1" applyAlignment="1">
      <alignment horizontal="right" vertical="center" indent="1"/>
      <extLst>
        <ext uri="smNativeData">
          <pm:cellMargin xmlns:pm="smNativeData" id="1598996201" l="0" r="192" t="0" b="0" textRotation="0"/>
        </ext>
      </extLst>
    </xf>
    <xf numFmtId="165" fontId="0" fillId="25" borderId="24" xfId="1" applyNumberFormat="1" applyFill="1" applyBorder="1" applyAlignment="1">
      <alignment horizontal="center" vertical="center"/>
    </xf>
    <xf numFmtId="49" fontId="0" fillId="28" borderId="27" xfId="0" applyNumberFormat="1" applyFill="1" applyBorder="1" applyAlignment="1">
      <alignment horizontal="center" vertical="center" wrapText="1"/>
    </xf>
    <xf numFmtId="49" fontId="0" fillId="29" borderId="28" xfId="0" applyNumberFormat="1" applyFill="1" applyBorder="1" applyAlignment="1">
      <alignment horizontal="center" vertical="center" wrapText="1"/>
    </xf>
    <xf numFmtId="49" fontId="0" fillId="30" borderId="29" xfId="0" applyNumberFormat="1" applyFill="1" applyBorder="1" applyAlignment="1">
      <alignment horizontal="center" vertical="center" wrapText="1"/>
    </xf>
    <xf numFmtId="0" fontId="0" fillId="31" borderId="30" xfId="0" applyFill="1" applyBorder="1"/>
    <xf numFmtId="166" fontId="0" fillId="32" borderId="31" xfId="0" applyNumberFormat="1" applyFill="1" applyBorder="1" applyAlignment="1">
      <alignment horizontal="right" vertical="center" indent="1"/>
      <extLst>
        <ext uri="smNativeData">
          <pm:cellMargin xmlns:pm="smNativeData" id="1598996201" l="0" r="192" t="0" b="0" textRotation="0"/>
        </ext>
      </extLst>
    </xf>
    <xf numFmtId="2" fontId="0" fillId="29" borderId="28" xfId="0" applyNumberFormat="1" applyFill="1" applyBorder="1" applyAlignment="1">
      <alignment horizontal="right" vertical="center" indent="1"/>
      <extLst>
        <ext uri="smNativeData">
          <pm:cellMargin xmlns:pm="smNativeData" id="1598996201" l="0" r="192" t="0" b="0" textRotation="0"/>
        </ext>
      </extLst>
    </xf>
    <xf numFmtId="165" fontId="0" fillId="32" borderId="31" xfId="0" applyNumberFormat="1" applyFill="1" applyBorder="1" applyAlignment="1">
      <alignment horizontal="right" vertical="center" indent="1"/>
      <extLst>
        <ext uri="smNativeData">
          <pm:cellMargin xmlns:pm="smNativeData" id="1598996201" l="0" r="192" t="0" b="0" textRotation="0"/>
        </ext>
      </extLst>
    </xf>
    <xf numFmtId="165" fontId="0" fillId="28" borderId="27" xfId="0" applyNumberFormat="1" applyFill="1" applyBorder="1" applyAlignment="1">
      <alignment horizontal="center" vertical="center"/>
    </xf>
    <xf numFmtId="0" fontId="0" fillId="33" borderId="32" xfId="0" applyFill="1" applyBorder="1"/>
    <xf numFmtId="3" fontId="0" fillId="34" borderId="33" xfId="0" applyNumberFormat="1" applyFill="1" applyBorder="1" applyAlignment="1">
      <alignment horizontal="right" vertical="center" indent="1"/>
      <extLst>
        <ext uri="smNativeData">
          <pm:cellMargin xmlns:pm="smNativeData" id="1598996201" l="0" r="192" t="0" b="0" textRotation="0"/>
        </ext>
      </extLst>
    </xf>
    <xf numFmtId="165" fontId="0" fillId="34" borderId="33" xfId="0" applyNumberFormat="1" applyFill="1" applyBorder="1" applyAlignment="1">
      <alignment horizontal="right" vertical="center" indent="1"/>
      <extLst>
        <ext uri="smNativeData">
          <pm:cellMargin xmlns:pm="smNativeData" id="1598996201" l="0" r="192" t="0" b="0" textRotation="0"/>
        </ext>
      </extLst>
    </xf>
    <xf numFmtId="165" fontId="0" fillId="29" borderId="28" xfId="0" applyNumberFormat="1" applyFill="1" applyBorder="1" applyAlignment="1">
      <alignment horizontal="center" vertical="center"/>
    </xf>
    <xf numFmtId="0" fontId="0" fillId="35" borderId="34" xfId="0" applyFill="1" applyBorder="1"/>
    <xf numFmtId="2" fontId="0" fillId="36" borderId="35" xfId="0" applyNumberFormat="1" applyFill="1" applyBorder="1" applyAlignment="1">
      <alignment horizontal="right" vertical="center" indent="1"/>
      <extLst>
        <ext uri="smNativeData">
          <pm:cellMargin xmlns:pm="smNativeData" id="1598996201" l="0" r="192" t="0" b="0" textRotation="0"/>
        </ext>
      </extLst>
    </xf>
    <xf numFmtId="165" fontId="0" fillId="36" borderId="35" xfId="0" applyNumberFormat="1" applyFill="1" applyBorder="1" applyAlignment="1">
      <alignment horizontal="right" vertical="center" indent="1"/>
      <extLst>
        <ext uri="smNativeData">
          <pm:cellMargin xmlns:pm="smNativeData" id="1598996201" l="0" r="192" t="0" b="0" textRotation="0"/>
        </ext>
      </extLst>
    </xf>
    <xf numFmtId="165" fontId="0" fillId="30" borderId="29" xfId="0" applyNumberFormat="1" applyFill="1" applyBorder="1" applyAlignment="1">
      <alignment horizontal="center" vertical="center"/>
    </xf>
  </cellXfs>
  <cellStyles count="2">
    <cellStyle name="Normal" xfId="0" builtinId="0" customBuiltin="1"/>
    <cellStyle name="20% - Accent1" xfId="1" builtinId="30" customBuiltin="1"/>
  </cellStyles>
  <tableStyles count="0"/>
  <extLst>
    <ext uri="smNativeData">
      <pm:charStyles xmlns:pm="smNativeData" id="1598996201" count="1">
        <pm:charStyle name="Normal" fontId="0" Id="1"/>
      </pm:charStyles>
      <pm:colors xmlns:pm="smNativeData" id="1598996201" count="7">
        <pm:color name="Farbe 24" rgb="DCE6F1"/>
        <pm:color name="Farbe 25" rgb="728C39"/>
        <pm:color name="9B403" rgb="AD5258"/>
        <pm:color name="624D68" rgb="624D68"/>
        <pm:color name="558086" rgb="558086"/>
        <pm:color name="Farbe 29" rgb="9EFF9E"/>
        <pm:color name="Farbe 30" rgb="FFFF9E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autoTitleDeleted val="1"/>
    <c:plotArea>
      <c:layout>
        <c:manualLayout>
          <c:xMode val="edge"/>
          <c:yMode val="edge"/>
          <c:wMode val="factor"/>
          <c:hMode val="factor"/>
          <c:x val="0.072250"/>
          <c:y val="0.067500"/>
          <c:w val="0.905500"/>
          <c:h val="0.732250"/>
        </c:manualLayout>
      </c:layout>
      <c:lineChart>
        <c:grouping val="standard"/>
        <c:ser>
          <c:idx val="0"/>
          <c:order val="0"/>
          <c:tx>
            <c:v>kWh pro Tag</c:v>
          </c:tx>
          <c:spPr>
            <a:ln w="9525">
              <a:solidFill>
                <a:srgbClr val="000080"/>
              </a:solidFill>
            </a:ln>
          </c:spPr>
          <c:marker>
            <c:symbol val="square"/>
            <c:size val="3"/>
            <c:spPr>
              <a:solidFill>
                <a:srgbClr val="000080"/>
              </a:solidFill>
              <a:ln>
                <a:solidFill>
                  <a:srgbClr val="000080"/>
                </a:solidFill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Strom!$A$2:$A$32</c:f>
              <c:numCache>
                <c:formatCode>General</c:formatCode>
                <c:ptCount val="3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</c:numCache>
            </c:numRef>
          </c:cat>
          <c:val>
            <c:numRef>
              <c:f>Strom!$D$2:$D$32</c:f>
              <c:numCache>
                <c:formatCode>General</c:formatCode>
                <c:ptCount val="31"/>
                <c:pt idx="0">
                  <c:v>9.170000</c:v>
                </c:pt>
                <c:pt idx="1">
                  <c:v>5.810000</c:v>
                </c:pt>
                <c:pt idx="2">
                  <c:v>6.310000</c:v>
                </c:pt>
                <c:pt idx="3">
                  <c:v>6.810000</c:v>
                </c:pt>
                <c:pt idx="4">
                  <c:v>7.060000</c:v>
                </c:pt>
                <c:pt idx="5">
                  <c:v>7.200000</c:v>
                </c:pt>
                <c:pt idx="6">
                  <c:v>7.430000</c:v>
                </c:pt>
                <c:pt idx="7">
                  <c:v>7.550000</c:v>
                </c:pt>
                <c:pt idx="8">
                  <c:v>7.930000</c:v>
                </c:pt>
                <c:pt idx="9">
                  <c:v>7.050000</c:v>
                </c:pt>
                <c:pt idx="10">
                  <c:v>6.450000</c:v>
                </c:pt>
                <c:pt idx="11">
                  <c:v>6.690000</c:v>
                </c:pt>
                <c:pt idx="12">
                  <c:v>5.960000</c:v>
                </c:pt>
                <c:pt idx="13">
                  <c:v>6.340000</c:v>
                </c:pt>
                <c:pt idx="14">
                  <c:v>6.480000</c:v>
                </c:pt>
                <c:pt idx="15">
                  <c:v>6.890000</c:v>
                </c:pt>
                <c:pt idx="16">
                  <c:v>6.130000</c:v>
                </c:pt>
                <c:pt idx="17">
                  <c:v>6.280000</c:v>
                </c:pt>
                <c:pt idx="18">
                  <c:v>5.810000</c:v>
                </c:pt>
                <c:pt idx="19">
                  <c:v>6.180000</c:v>
                </c:pt>
                <c:pt idx="20">
                  <c:v>6.320000</c:v>
                </c:pt>
                <c:pt idx="21">
                  <c:v>6.670000</c:v>
                </c:pt>
                <c:pt idx="22">
                  <c:v>6.520000</c:v>
                </c:pt>
                <c:pt idx="23">
                  <c:v>6.340000</c:v>
                </c:pt>
                <c:pt idx="24">
                  <c:v>5.840000</c:v>
                </c:pt>
                <c:pt idx="25">
                  <c:v>6.050000</c:v>
                </c:pt>
                <c:pt idx="26">
                  <c:v>5.720000</c:v>
                </c:pt>
                <c:pt idx="27">
                  <c:v>5.770000</c:v>
                </c:pt>
                <c:pt idx="28">
                  <c:v>5.700000</c:v>
                </c:pt>
                <c:pt idx="29">
                  <c:v>5.810000</c:v>
                </c:pt>
                <c:pt idx="30">
                  <c:v>5.430000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v>5-Jahr-Schnitt</c:v>
          </c:tx>
          <c:spPr>
            <a:ln w="9525">
              <a:solidFill>
                <a:srgbClr val="FF00FF"/>
              </a:solidFill>
            </a:ln>
          </c:spPr>
          <c:marker>
            <c:symbol val="none"/>
          </c:marker>
          <c:cat>
            <c:numRef>
              <c:f>Strom!$A$2:$A$32</c:f>
              <c:numCache>
                <c:formatCode>General</c:formatCode>
                <c:ptCount val="3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</c:numCache>
            </c:numRef>
          </c:cat>
          <c:val>
            <c:numRef>
              <c:f>Strom!$E$2:$E$32</c:f>
              <c:numCache>
                <c:formatCode>General</c:formatCode>
                <c:ptCount val="31"/>
                <c:pt idx="0">
                  <c:v>7.490000</c:v>
                </c:pt>
                <c:pt idx="1">
                  <c:v>7.096667</c:v>
                </c:pt>
                <c:pt idx="2">
                  <c:v>7.032000</c:v>
                </c:pt>
                <c:pt idx="3">
                  <c:v>6.638000</c:v>
                </c:pt>
                <c:pt idx="4">
                  <c:v>6.962000</c:v>
                </c:pt>
                <c:pt idx="5">
                  <c:v>7.210000</c:v>
                </c:pt>
                <c:pt idx="6">
                  <c:v>7.434000</c:v>
                </c:pt>
                <c:pt idx="7">
                  <c:v>7.432000</c:v>
                </c:pt>
                <c:pt idx="8">
                  <c:v>7.282000</c:v>
                </c:pt>
                <c:pt idx="9">
                  <c:v>7.134000</c:v>
                </c:pt>
                <c:pt idx="10">
                  <c:v>6.816000</c:v>
                </c:pt>
                <c:pt idx="11">
                  <c:v>6.498000</c:v>
                </c:pt>
                <c:pt idx="12">
                  <c:v>6.384000</c:v>
                </c:pt>
                <c:pt idx="13">
                  <c:v>6.472000</c:v>
                </c:pt>
                <c:pt idx="14">
                  <c:v>6.360000</c:v>
                </c:pt>
                <c:pt idx="15">
                  <c:v>6.424000</c:v>
                </c:pt>
                <c:pt idx="16">
                  <c:v>6.318000</c:v>
                </c:pt>
                <c:pt idx="17">
                  <c:v>6.258000</c:v>
                </c:pt>
                <c:pt idx="18">
                  <c:v>6.144000</c:v>
                </c:pt>
                <c:pt idx="19">
                  <c:v>6.252000</c:v>
                </c:pt>
                <c:pt idx="20">
                  <c:v>6.300000</c:v>
                </c:pt>
                <c:pt idx="21">
                  <c:v>6.406000</c:v>
                </c:pt>
                <c:pt idx="22">
                  <c:v>6.338000</c:v>
                </c:pt>
                <c:pt idx="23">
                  <c:v>6.284000</c:v>
                </c:pt>
                <c:pt idx="24">
                  <c:v>6.094000</c:v>
                </c:pt>
                <c:pt idx="25">
                  <c:v>5.944000</c:v>
                </c:pt>
                <c:pt idx="26">
                  <c:v>5.816000</c:v>
                </c:pt>
                <c:pt idx="27">
                  <c:v>5.810000</c:v>
                </c:pt>
                <c:pt idx="28">
                  <c:v>5.686000</c:v>
                </c:pt>
                <c:pt idx="29">
                  <c:v>5.677500</c:v>
                </c:pt>
                <c:pt idx="30">
                  <c:v>5.646667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majorGridlines>
          <c:spPr>
            <a:ln w="9525">
              <a:solidFill>
                <a:srgbClr val="000000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 w="9525">
            <a:solidFill>
              <a:srgbClr val="000000"/>
            </a:solidFill>
          </a:ln>
        </c:spPr>
        <c:txPr>
          <a:bodyPr rot="-5400000"/>
          <a:lstStyle/>
          <a:p>
            <a:pPr>
              <a:defRPr lang="de-de" sz="800" b="0" i="0" u="none" strike="noStrike" kern="100">
                <a:solidFill>
                  <a:srgbClr val="000000"/>
                </a:solidFill>
                <a:latin typeface="Times New Roman" charset="0"/>
              </a:defRPr>
            </a:pPr>
          </a:p>
        </c:txPr>
        <c:crossAx val="11"/>
        <c:crossesAt val="5.000000"/>
        <c:auto val="1"/>
        <c:lblAlgn val="l"/>
      </c:catAx>
      <c:valAx>
        <c:axId val="11"/>
        <c:scaling>
          <c:orientation val="minMax"/>
          <c:min val="5.000000"/>
        </c:scaling>
        <c:delete val="0"/>
        <c:axPos val="l"/>
        <c:majorGridlines>
          <c:spPr>
            <a:ln w="9525">
              <a:solidFill>
                <a:srgbClr val="000000"/>
              </a:solidFill>
            </a:ln>
          </c:spPr>
        </c:majorGridlines>
        <c:numFmt formatCode="0.00" sourceLinked="1"/>
        <c:majorTickMark val="out"/>
        <c:minorTickMark val="none"/>
        <c:tickLblPos val="nextTo"/>
        <c:spPr>
          <a:ln w="9525">
            <a:solidFill>
              <a:srgbClr val="000000"/>
            </a:solidFill>
          </a:ln>
        </c:spPr>
        <c:txPr>
          <a:bodyPr/>
          <a:lstStyle/>
          <a:p>
            <a:pPr>
              <a:defRPr lang="de-de" sz="800" b="0" i="0" u="none" strike="noStrike" kern="100">
                <a:solidFill>
                  <a:srgbClr val="000000"/>
                </a:solidFill>
                <a:latin typeface="Times New Roman" charset="0"/>
              </a:defRPr>
            </a:pPr>
          </a:p>
        </c:txPr>
        <c:crossAx val="10"/>
        <c:crosses val="autoZero"/>
        <c:crossBetween val="between"/>
        <c:minorUnit val="0.250000"/>
      </c:valAx>
      <c:spPr>
        <a:solidFill>
          <a:srgbClr val="C0C0C0"/>
        </a:solidFill>
        <a:ln w="9525">
          <a:solidFill>
            <a:srgbClr val="808080"/>
          </a:solidFill>
        </a:ln>
      </c:spPr>
    </c:plotArea>
    <c:legend>
      <c:legendPos val="b"/>
      <c:layout>
        <c:manualLayout>
          <c:xMode val="edge"/>
          <c:yMode val="edge"/>
          <c:wMode val="factor"/>
          <c:hMode val="factor"/>
          <c:x val="0.368500"/>
          <c:y val="0.921500"/>
          <c:w val="0.311750"/>
          <c:h val="0.059250"/>
        </c:manualLayout>
      </c:layout>
      <c:overlay val="0"/>
      <c:spPr>
        <a:solidFill>
          <a:srgbClr val="FFFFFF"/>
        </a:solidFill>
        <a:ln w="9525">
          <a:solidFill>
            <a:srgbClr val="000000"/>
          </a:solidFill>
        </a:ln>
      </c:spPr>
      <c:txPr>
        <a:bodyPr/>
        <a:lstStyle/>
        <a:p>
          <a:pPr>
            <a:defRPr lang="de-de" sz="735" b="0" i="0" u="none" strike="noStrike" kern="100">
              <a:solidFill>
                <a:srgbClr val="000000"/>
              </a:solidFill>
              <a:latin typeface="Times New Roman" charset="0"/>
            </a:defRPr>
          </a:pPr>
        </a:p>
      </c:txPr>
    </c:legend>
    <c:plotVisOnly val="1"/>
    <c:dispBlanksAs val="gap"/>
  </c:chart>
  <c:spPr>
    <a:solidFill>
      <a:srgbClr val="FFFFFF"/>
    </a:solidFill>
    <a:ln w="9525">
      <a:solidFill>
        <a:srgbClr val="000000"/>
      </a:solidFill>
    </a:ln>
  </c:spPr>
  <c:txPr>
    <a:bodyPr anchor="t" rot="0"/>
    <a:lstStyle/>
    <a:p>
      <a:pPr>
        <a:defRPr lang="de-de" sz="1700" b="0" i="0" u="none" strike="noStrike" kern="100">
          <a:solidFill>
            <a:srgbClr val="000000"/>
          </a:solidFill>
          <a:latin typeface="Times New Roman" charset="0"/>
        </a:defRPr>
      </a:pPr>
    </a:p>
  </c:txPr>
  <c:extLst>
    <c:ext xmlns:sm="smo" uri="smo">
      <sm:colorScheme xmlns:sm="smo" id="1598996201" val="15"/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autoTitleDeleted val="1"/>
    <c:plotArea>
      <c:layout>
        <c:manualLayout>
          <c:xMode val="edge"/>
          <c:yMode val="edge"/>
          <c:wMode val="factor"/>
          <c:hMode val="factor"/>
          <c:x val="0.084750"/>
          <c:y val="0.066250"/>
          <c:w val="0.893000"/>
          <c:h val="0.741500"/>
        </c:manualLayout>
      </c:layout>
      <c:lineChart>
        <c:grouping val="standard"/>
        <c:ser>
          <c:idx val="0"/>
          <c:order val="0"/>
          <c:tx>
            <c:v>3-Jahr-Schnitt</c:v>
          </c:tx>
          <c:spPr>
            <a:ln w="9525">
              <a:solidFill>
                <a:srgbClr val="FFFF00"/>
              </a:solidFill>
            </a:ln>
          </c:spPr>
          <c:marker>
            <c:symbol val="none"/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numRef>
              <c:f>Wasser!$A$2:$A$33</c:f>
              <c:numCache>
                <c:formatCode>General</c:formatCode>
                <c:ptCount val="32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</c:numCache>
            </c:numRef>
          </c:cat>
          <c:val>
            <c:numRef>
              <c:f>Wasser!$C$2:$C$33</c:f>
              <c:numCache>
                <c:formatCode>General</c:formatCode>
                <c:ptCount val="32"/>
                <c:pt idx="0">
                  <c:v>112</c:v>
                </c:pt>
                <c:pt idx="1">
                  <c:v>108</c:v>
                </c:pt>
                <c:pt idx="2">
                  <c:v>109</c:v>
                </c:pt>
                <c:pt idx="3">
                  <c:v>108</c:v>
                </c:pt>
                <c:pt idx="4">
                  <c:v>110.330000</c:v>
                </c:pt>
                <c:pt idx="5">
                  <c:v>116</c:v>
                </c:pt>
                <c:pt idx="6">
                  <c:v>119</c:v>
                </c:pt>
                <c:pt idx="7">
                  <c:v>125.670000</c:v>
                </c:pt>
                <c:pt idx="8">
                  <c:v>125.330000</c:v>
                </c:pt>
                <c:pt idx="9">
                  <c:v>127</c:v>
                </c:pt>
                <c:pt idx="10">
                  <c:v>116</c:v>
                </c:pt>
                <c:pt idx="11">
                  <c:v>110</c:v>
                </c:pt>
                <c:pt idx="12">
                  <c:v>109</c:v>
                </c:pt>
                <c:pt idx="13">
                  <c:v>122</c:v>
                </c:pt>
                <c:pt idx="14">
                  <c:v>124</c:v>
                </c:pt>
                <c:pt idx="15">
                  <c:v>125</c:v>
                </c:pt>
                <c:pt idx="16">
                  <c:v>117</c:v>
                </c:pt>
                <c:pt idx="17">
                  <c:v>118</c:v>
                </c:pt>
                <c:pt idx="18">
                  <c:v>109</c:v>
                </c:pt>
                <c:pt idx="19">
                  <c:v>101.330000</c:v>
                </c:pt>
                <c:pt idx="20">
                  <c:v>96.670000</c:v>
                </c:pt>
                <c:pt idx="21">
                  <c:v>96.330000</c:v>
                </c:pt>
                <c:pt idx="22">
                  <c:v>99.670000</c:v>
                </c:pt>
                <c:pt idx="23">
                  <c:v>97.330000</c:v>
                </c:pt>
                <c:pt idx="24">
                  <c:v>100.330000</c:v>
                </c:pt>
                <c:pt idx="25">
                  <c:v>98</c:v>
                </c:pt>
                <c:pt idx="26">
                  <c:v>100.670000</c:v>
                </c:pt>
                <c:pt idx="27">
                  <c:v>99</c:v>
                </c:pt>
                <c:pt idx="28">
                  <c:v>99</c:v>
                </c:pt>
                <c:pt idx="29">
                  <c:v>98</c:v>
                </c:pt>
                <c:pt idx="30">
                  <c:v>98</c:v>
                </c:pt>
                <c:pt idx="31">
                  <c:v>102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v>m³ proJahr</c:v>
          </c:tx>
          <c:spPr>
            <a:ln w="9525">
              <a:solidFill>
                <a:srgbClr val="FF00FF"/>
              </a:solidFill>
            </a:ln>
          </c:spPr>
          <c:marker>
            <c:symbol val="square"/>
            <c:size val="3"/>
            <c:spPr>
              <a:solidFill>
                <a:srgbClr val="FF00FF"/>
              </a:solidFill>
              <a:ln>
                <a:noFill/>
              </a:ln>
            </c:spPr>
          </c:marker>
          <c:cat>
            <c:numRef>
              <c:f>Wasser!$A$2:$A$33</c:f>
              <c:numCache>
                <c:formatCode>General</c:formatCode>
                <c:ptCount val="32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</c:numCache>
            </c:numRef>
          </c:cat>
          <c:val>
            <c:numRef>
              <c:f>Wasser!$B$2:$B$33</c:f>
              <c:numCache>
                <c:formatCode>General</c:formatCode>
                <c:ptCount val="32"/>
                <c:pt idx="0">
                  <c:v>112</c:v>
                </c:pt>
                <c:pt idx="1">
                  <c:v>104</c:v>
                </c:pt>
                <c:pt idx="2">
                  <c:v>111</c:v>
                </c:pt>
                <c:pt idx="3">
                  <c:v>109</c:v>
                </c:pt>
                <c:pt idx="4">
                  <c:v>111</c:v>
                </c:pt>
                <c:pt idx="5">
                  <c:v>128</c:v>
                </c:pt>
                <c:pt idx="6">
                  <c:v>118</c:v>
                </c:pt>
                <c:pt idx="7">
                  <c:v>131</c:v>
                </c:pt>
                <c:pt idx="8">
                  <c:v>127</c:v>
                </c:pt>
                <c:pt idx="9">
                  <c:v>123</c:v>
                </c:pt>
                <c:pt idx="10">
                  <c:v>98</c:v>
                </c:pt>
                <c:pt idx="11">
                  <c:v>109</c:v>
                </c:pt>
                <c:pt idx="12">
                  <c:v>120</c:v>
                </c:pt>
                <c:pt idx="13">
                  <c:v>137</c:v>
                </c:pt>
                <c:pt idx="14">
                  <c:v>115</c:v>
                </c:pt>
                <c:pt idx="15">
                  <c:v>123</c:v>
                </c:pt>
                <c:pt idx="16">
                  <c:v>113</c:v>
                </c:pt>
                <c:pt idx="17">
                  <c:v>118</c:v>
                </c:pt>
                <c:pt idx="18">
                  <c:v>96</c:v>
                </c:pt>
                <c:pt idx="19">
                  <c:v>90</c:v>
                </c:pt>
                <c:pt idx="20">
                  <c:v>104</c:v>
                </c:pt>
                <c:pt idx="21">
                  <c:v>95</c:v>
                </c:pt>
                <c:pt idx="22">
                  <c:v>100</c:v>
                </c:pt>
                <c:pt idx="23">
                  <c:v>97</c:v>
                </c:pt>
                <c:pt idx="24">
                  <c:v>104</c:v>
                </c:pt>
                <c:pt idx="25">
                  <c:v>93</c:v>
                </c:pt>
                <c:pt idx="26">
                  <c:v>105</c:v>
                </c:pt>
                <c:pt idx="27">
                  <c:v>99</c:v>
                </c:pt>
                <c:pt idx="28">
                  <c:v>93</c:v>
                </c:pt>
                <c:pt idx="29">
                  <c:v>102</c:v>
                </c:pt>
                <c:pt idx="30">
                  <c:v>99</c:v>
                </c:pt>
                <c:pt idx="31">
                  <c:v>105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majorGridlines>
          <c:spPr>
            <a:ln w="9525">
              <a:solidFill>
                <a:srgbClr val="000000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 w="9525">
            <a:solidFill>
              <a:srgbClr val="000000"/>
            </a:solidFill>
          </a:ln>
        </c:spPr>
        <c:txPr>
          <a:bodyPr rot="-5400000"/>
          <a:lstStyle/>
          <a:p>
            <a:pPr>
              <a:defRPr lang="de-de" sz="800" b="0" i="0" u="none" strike="noStrike" kern="100">
                <a:solidFill>
                  <a:srgbClr val="000000"/>
                </a:solidFill>
                <a:latin typeface="Times New Roman" charset="0"/>
              </a:defRPr>
            </a:pPr>
          </a:p>
        </c:txPr>
        <c:crossAx val="11"/>
        <c:crosses val="autoZero"/>
        <c:auto val="1"/>
        <c:lblAlgn val="l"/>
      </c:catAx>
      <c:valAx>
        <c:axId val="11"/>
        <c:scaling>
          <c:orientation val="minMax"/>
          <c:min val="80.000000"/>
        </c:scaling>
        <c:delete val="0"/>
        <c:axPos val="l"/>
        <c:majorGridlines>
          <c:spPr>
            <a:ln w="9525">
              <a:solidFill>
                <a:srgbClr val="000000"/>
              </a:solidFill>
            </a:ln>
          </c:spPr>
        </c:majorGridlines>
        <c:numFmt formatCode="0.0" sourceLinked="1"/>
        <c:majorTickMark val="out"/>
        <c:minorTickMark val="none"/>
        <c:tickLblPos val="nextTo"/>
        <c:spPr>
          <a:ln w="9525">
            <a:solidFill>
              <a:srgbClr val="000000"/>
            </a:solidFill>
          </a:ln>
        </c:spPr>
        <c:txPr>
          <a:bodyPr/>
          <a:lstStyle/>
          <a:p>
            <a:pPr>
              <a:defRPr lang="de-de" sz="875" b="0" i="0" u="none" strike="noStrike" kern="100">
                <a:solidFill>
                  <a:srgbClr val="000000"/>
                </a:solidFill>
                <a:latin typeface="Times New Roman" charset="0"/>
              </a:defRPr>
            </a:pPr>
          </a:p>
        </c:txPr>
        <c:crossAx val="10"/>
        <c:crosses val="autoZero"/>
        <c:crossBetween val="between"/>
      </c:valAx>
      <c:spPr>
        <a:solidFill>
          <a:srgbClr val="C0C0C0"/>
        </a:solidFill>
        <a:ln w="9525">
          <a:solidFill>
            <a:srgbClr val="808080"/>
          </a:solidFill>
        </a:ln>
      </c:spPr>
    </c:plotArea>
    <c:legend>
      <c:legendPos val="b"/>
      <c:layout>
        <c:manualLayout>
          <c:xMode val="edge"/>
          <c:yMode val="edge"/>
          <c:wMode val="factor"/>
          <c:hMode val="factor"/>
          <c:x val="0.375750"/>
          <c:y val="0.923250"/>
          <c:w val="0.311250"/>
          <c:h val="0.058750"/>
        </c:manualLayout>
      </c:layout>
      <c:overlay val="0"/>
      <c:spPr>
        <a:solidFill>
          <a:srgbClr val="C0C0C0"/>
        </a:solidFill>
        <a:ln w="9525">
          <a:solidFill>
            <a:srgbClr val="000000"/>
          </a:solidFill>
        </a:ln>
      </c:spPr>
      <c:txPr>
        <a:bodyPr/>
        <a:lstStyle/>
        <a:p>
          <a:pPr>
            <a:defRPr lang="de-de" sz="805" b="0" i="0" u="none" strike="noStrike" kern="100">
              <a:solidFill>
                <a:srgbClr val="000000"/>
              </a:solidFill>
              <a:latin typeface="Times New Roman" charset="0"/>
            </a:defRPr>
          </a:pPr>
        </a:p>
      </c:txPr>
    </c:legend>
    <c:plotVisOnly val="1"/>
    <c:dispBlanksAs val="gap"/>
  </c:chart>
  <c:spPr>
    <a:solidFill>
      <a:srgbClr val="FFFFFF"/>
    </a:solidFill>
    <a:ln w="9525">
      <a:solidFill>
        <a:srgbClr val="000000"/>
      </a:solidFill>
    </a:ln>
  </c:spPr>
  <c:txPr>
    <a:bodyPr anchor="t" rot="0"/>
    <a:lstStyle/>
    <a:p>
      <a:pPr>
        <a:defRPr lang="de-de" sz="1700" b="0" i="0" u="none" strike="noStrike" kern="100">
          <a:solidFill>
            <a:srgbClr val="000000"/>
          </a:solidFill>
          <a:latin typeface="Times New Roman" charset="0"/>
        </a:defRPr>
      </a:pPr>
    </a:p>
  </c:txPr>
  <c:extLst>
    <c:ext xmlns:sm="smo" uri="smo">
      <sm:colorScheme xmlns:sm="smo" id="1598996201" val="15"/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autoTitleDeleted val="1"/>
    <c:plotArea>
      <c:layout>
        <c:manualLayout>
          <c:xMode val="edge"/>
          <c:yMode val="edge"/>
          <c:wMode val="factor"/>
          <c:hMode val="factor"/>
          <c:x val="0.077250"/>
          <c:y val="0.069750"/>
          <c:w val="0.899000"/>
          <c:h val="0.743000"/>
        </c:manualLayout>
      </c:layout>
      <c:lineChart>
        <c:grouping val="standard"/>
        <c:ser>
          <c:idx val="0"/>
          <c:order val="0"/>
          <c:tx>
            <c:strRef>
              <c:f>Heizöl!$H$1</c:f>
              <c:strCache>
                <c:ptCount val="1"/>
                <c:pt idx="0">
                  <c:v>3-Jahres-Schnitt (l)</c:v>
                </c:pt>
              </c:strCache>
            </c:strRef>
          </c:tx>
          <c:spPr>
            <a:ln w="9525">
              <a:solidFill>
                <a:srgbClr val="000080"/>
              </a:solidFill>
            </a:ln>
          </c:spPr>
          <c:marker>
            <c:symbol val="square"/>
            <c:size val="2"/>
            <c:spPr>
              <a:solidFill>
                <a:srgbClr val="000080"/>
              </a:solidFill>
              <a:ln>
                <a:solidFill>
                  <a:srgbClr val="000080"/>
                </a:solidFill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Ref>
              <c:f>Heizöl!$M$3:$M$30</c:f>
              <c:strCache>
                <c:ptCount val="28"/>
                <c:pt idx="0">
                  <c:v>87</c:v>
                </c:pt>
                <c:pt idx="1">
                  <c:v>88</c:v>
                </c:pt>
                <c:pt idx="2">
                  <c:v>89</c:v>
                </c:pt>
                <c:pt idx="3">
                  <c:v>90</c:v>
                </c:pt>
                <c:pt idx="4">
                  <c:v>91</c:v>
                </c:pt>
                <c:pt idx="5">
                  <c:v>92</c:v>
                </c:pt>
                <c:pt idx="6">
                  <c:v>93</c:v>
                </c:pt>
                <c:pt idx="7">
                  <c:v>94</c:v>
                </c:pt>
                <c:pt idx="8">
                  <c:v>95</c:v>
                </c:pt>
                <c:pt idx="9">
                  <c:v>96</c:v>
                </c:pt>
                <c:pt idx="10">
                  <c:v>97</c:v>
                </c:pt>
                <c:pt idx="11">
                  <c:v>98</c:v>
                </c:pt>
                <c:pt idx="12">
                  <c:v>99</c:v>
                </c:pt>
                <c:pt idx="13">
                  <c:v>00</c:v>
                </c:pt>
                <c:pt idx="14">
                  <c:v>01</c:v>
                </c:pt>
                <c:pt idx="15">
                  <c:v>02</c:v>
                </c:pt>
                <c:pt idx="16">
                  <c:v>03</c:v>
                </c:pt>
                <c:pt idx="17">
                  <c:v>04</c:v>
                </c:pt>
                <c:pt idx="18">
                  <c:v>05</c:v>
                </c:pt>
                <c:pt idx="19">
                  <c:v>06</c:v>
                </c:pt>
                <c:pt idx="20">
                  <c:v>07</c:v>
                </c:pt>
                <c:pt idx="21">
                  <c:v>08</c:v>
                </c:pt>
                <c:pt idx="22">
                  <c:v>09</c:v>
                </c:pt>
                <c:pt idx="23">
                  <c:v>10</c:v>
                </c:pt>
                <c:pt idx="24">
                  <c:v>11</c:v>
                </c:pt>
                <c:pt idx="25">
                  <c:v>12</c:v>
                </c:pt>
                <c:pt idx="26">
                  <c:v>13</c:v>
                </c:pt>
                <c:pt idx="27">
                  <c:v>14</c:v>
                </c:pt>
              </c:strCache>
            </c:strRef>
          </c:cat>
          <c:val>
            <c:numRef>
              <c:f>Heizöl!$H$3:$H$30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6.940000</c:v>
                </c:pt>
                <c:pt idx="3">
                  <c:v>7.430000</c:v>
                </c:pt>
                <c:pt idx="4">
                  <c:v>7.940000</c:v>
                </c:pt>
                <c:pt idx="5">
                  <c:v>8.130000</c:v>
                </c:pt>
                <c:pt idx="6">
                  <c:v>8.240000</c:v>
                </c:pt>
                <c:pt idx="7">
                  <c:v>8.250000</c:v>
                </c:pt>
                <c:pt idx="8">
                  <c:v>8.130000</c:v>
                </c:pt>
                <c:pt idx="9">
                  <c:v>8.260000</c:v>
                </c:pt>
                <c:pt idx="10">
                  <c:v>8.020000</c:v>
                </c:pt>
                <c:pt idx="11">
                  <c:v>8.130000</c:v>
                </c:pt>
                <c:pt idx="12">
                  <c:v>7.590000</c:v>
                </c:pt>
                <c:pt idx="13">
                  <c:v>7.440000</c:v>
                </c:pt>
                <c:pt idx="14">
                  <c:v>7.300000</c:v>
                </c:pt>
                <c:pt idx="15">
                  <c:v>7.530000</c:v>
                </c:pt>
                <c:pt idx="16">
                  <c:v>7.630000</c:v>
                </c:pt>
                <c:pt idx="17">
                  <c:v>7.160000</c:v>
                </c:pt>
                <c:pt idx="18">
                  <c:v>6.350000</c:v>
                </c:pt>
                <c:pt idx="19">
                  <c:v>6.130000</c:v>
                </c:pt>
                <c:pt idx="20">
                  <c:v>5.870000</c:v>
                </c:pt>
                <c:pt idx="21">
                  <c:v>5.730000</c:v>
                </c:pt>
                <c:pt idx="22">
                  <c:v>5.500000</c:v>
                </c:pt>
                <c:pt idx="23">
                  <c:v>5.650000</c:v>
                </c:pt>
                <c:pt idx="24">
                  <c:v>5.750000</c:v>
                </c:pt>
                <c:pt idx="25">
                  <c:v>5.580000</c:v>
                </c:pt>
                <c:pt idx="26">
                  <c:v>5.520000</c:v>
                </c:pt>
                <c:pt idx="27">
                  <c:v>5.580000</c:v>
                </c:pt>
              </c:numCache>
            </c:numRef>
          </c:val>
          <c:smooth val="1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strRef>
              <c:f>Heizöl!$G$1</c:f>
              <c:strCache>
                <c:ptCount val="1"/>
                <c:pt idx="0">
                  <c:v>Tagesver-brauch im Jahr (l)</c:v>
                </c:pt>
              </c:strCache>
            </c:strRef>
          </c:tx>
          <c:spPr>
            <a:ln w="9525">
              <a:solidFill>
                <a:srgbClr val="FF0000"/>
              </a:solidFill>
            </a:ln>
          </c:spPr>
          <c:marker>
            <c:symbol val="diamond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cat>
            <c:strRef>
              <c:f>Heizöl!$M$3:$M$30</c:f>
              <c:strCache>
                <c:ptCount val="28"/>
                <c:pt idx="0">
                  <c:v>87</c:v>
                </c:pt>
                <c:pt idx="1">
                  <c:v>88</c:v>
                </c:pt>
                <c:pt idx="2">
                  <c:v>89</c:v>
                </c:pt>
                <c:pt idx="3">
                  <c:v>90</c:v>
                </c:pt>
                <c:pt idx="4">
                  <c:v>91</c:v>
                </c:pt>
                <c:pt idx="5">
                  <c:v>92</c:v>
                </c:pt>
                <c:pt idx="6">
                  <c:v>93</c:v>
                </c:pt>
                <c:pt idx="7">
                  <c:v>94</c:v>
                </c:pt>
                <c:pt idx="8">
                  <c:v>95</c:v>
                </c:pt>
                <c:pt idx="9">
                  <c:v>96</c:v>
                </c:pt>
                <c:pt idx="10">
                  <c:v>97</c:v>
                </c:pt>
                <c:pt idx="11">
                  <c:v>98</c:v>
                </c:pt>
                <c:pt idx="12">
                  <c:v>99</c:v>
                </c:pt>
                <c:pt idx="13">
                  <c:v>00</c:v>
                </c:pt>
                <c:pt idx="14">
                  <c:v>01</c:v>
                </c:pt>
                <c:pt idx="15">
                  <c:v>02</c:v>
                </c:pt>
                <c:pt idx="16">
                  <c:v>03</c:v>
                </c:pt>
                <c:pt idx="17">
                  <c:v>04</c:v>
                </c:pt>
                <c:pt idx="18">
                  <c:v>05</c:v>
                </c:pt>
                <c:pt idx="19">
                  <c:v>06</c:v>
                </c:pt>
                <c:pt idx="20">
                  <c:v>07</c:v>
                </c:pt>
                <c:pt idx="21">
                  <c:v>08</c:v>
                </c:pt>
                <c:pt idx="22">
                  <c:v>09</c:v>
                </c:pt>
                <c:pt idx="23">
                  <c:v>10</c:v>
                </c:pt>
                <c:pt idx="24">
                  <c:v>11</c:v>
                </c:pt>
                <c:pt idx="25">
                  <c:v>12</c:v>
                </c:pt>
                <c:pt idx="26">
                  <c:v>13</c:v>
                </c:pt>
                <c:pt idx="27">
                  <c:v>14</c:v>
                </c:pt>
              </c:strCache>
            </c:strRef>
          </c:cat>
          <c:val>
            <c:numRef>
              <c:f>Heizöl!$G$3:$G$30</c:f>
              <c:numCache>
                <c:formatCode>General</c:formatCode>
                <c:ptCount val="28"/>
                <c:pt idx="0">
                  <c:v>6.654658</c:v>
                </c:pt>
                <c:pt idx="1">
                  <c:v>6.843607</c:v>
                </c:pt>
                <c:pt idx="2">
                  <c:v>7.319178</c:v>
                </c:pt>
                <c:pt idx="3">
                  <c:v>8.141589</c:v>
                </c:pt>
                <c:pt idx="4">
                  <c:v>8.347589</c:v>
                </c:pt>
                <c:pt idx="5">
                  <c:v>7.914126</c:v>
                </c:pt>
                <c:pt idx="6">
                  <c:v>8.469205</c:v>
                </c:pt>
                <c:pt idx="7">
                  <c:v>8.355973</c:v>
                </c:pt>
                <c:pt idx="8">
                  <c:v>7.561918</c:v>
                </c:pt>
                <c:pt idx="9">
                  <c:v>8.872350</c:v>
                </c:pt>
                <c:pt idx="10">
                  <c:v>7.614247</c:v>
                </c:pt>
                <c:pt idx="11">
                  <c:v>7.892384</c:v>
                </c:pt>
                <c:pt idx="12">
                  <c:v>7.251068</c:v>
                </c:pt>
                <c:pt idx="13">
                  <c:v>7.187869</c:v>
                </c:pt>
                <c:pt idx="14">
                  <c:v>7.474466</c:v>
                </c:pt>
                <c:pt idx="15">
                  <c:v>7.940000</c:v>
                </c:pt>
                <c:pt idx="16">
                  <c:v>7.468767</c:v>
                </c:pt>
                <c:pt idx="17">
                  <c:v>6.074426</c:v>
                </c:pt>
                <c:pt idx="18">
                  <c:v>5.518055</c:v>
                </c:pt>
                <c:pt idx="19">
                  <c:v>6.790000</c:v>
                </c:pt>
                <c:pt idx="20">
                  <c:v>5.307425</c:v>
                </c:pt>
                <c:pt idx="21">
                  <c:v>5.101148</c:v>
                </c:pt>
                <c:pt idx="22">
                  <c:v>6.090000</c:v>
                </c:pt>
                <c:pt idx="23">
                  <c:v>5.747205</c:v>
                </c:pt>
                <c:pt idx="24">
                  <c:v>5.410000</c:v>
                </c:pt>
                <c:pt idx="25">
                  <c:v>5.578603</c:v>
                </c:pt>
                <c:pt idx="26">
                  <c:v>5.580000</c:v>
                </c:pt>
                <c:pt idx="27">
                  <c:v>5.580000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marker val="1"/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majorGridlines>
          <c:spPr>
            <a:ln w="9525">
              <a:solidFill>
                <a:srgbClr val="000000"/>
              </a:solidFill>
            </a:ln>
          </c:spPr>
        </c:majorGridlines>
        <c:numFmt formatCode="@" sourceLinked="1"/>
        <c:majorTickMark val="out"/>
        <c:minorTickMark val="none"/>
        <c:tickLblPos val="nextTo"/>
        <c:spPr>
          <a:ln w="9525">
            <a:solidFill>
              <a:srgbClr val="000000"/>
            </a:solidFill>
          </a:ln>
        </c:spPr>
        <c:txPr>
          <a:bodyPr/>
          <a:lstStyle/>
          <a:p>
            <a:pPr>
              <a:defRPr lang="de-de" sz="800" b="0" i="0" u="none" strike="noStrike" kern="100">
                <a:solidFill>
                  <a:srgbClr val="000000"/>
                </a:solidFill>
                <a:latin typeface="Times New Roman" charset="0"/>
              </a:defRPr>
            </a:pPr>
          </a:p>
        </c:txPr>
        <c:crossAx val="11"/>
        <c:crossesAt val="5.000000"/>
        <c:auto val="1"/>
        <c:lblAlgn val="l"/>
      </c:catAx>
      <c:valAx>
        <c:axId val="11"/>
        <c:scaling>
          <c:orientation val="minMax"/>
          <c:min val="5.000000"/>
        </c:scaling>
        <c:delete val="0"/>
        <c:axPos val="l"/>
        <c:majorGridlines>
          <c:spPr>
            <a:ln w="9525">
              <a:solidFill>
                <a:srgbClr val="000000"/>
              </a:solidFill>
            </a:ln>
          </c:spPr>
        </c:majorGridlines>
        <c:numFmt formatCode="0.00" sourceLinked="1"/>
        <c:majorTickMark val="out"/>
        <c:minorTickMark val="none"/>
        <c:tickLblPos val="nextTo"/>
        <c:spPr>
          <a:ln w="9525">
            <a:solidFill>
              <a:srgbClr val="000000"/>
            </a:solidFill>
          </a:ln>
        </c:spPr>
        <c:txPr>
          <a:bodyPr/>
          <a:lstStyle/>
          <a:p>
            <a:pPr>
              <a:defRPr lang="de-de" sz="800" b="0" i="0" u="none" strike="noStrike" kern="100">
                <a:solidFill>
                  <a:srgbClr val="000000"/>
                </a:solidFill>
                <a:latin typeface="Times New Roman" charset="0"/>
              </a:defRPr>
            </a:pPr>
          </a:p>
        </c:txPr>
        <c:crossAx val="10"/>
        <c:crosses val="autoZero"/>
        <c:crossBetween val="between"/>
      </c:valAx>
      <c:spPr>
        <a:solidFill>
          <a:srgbClr val="C0C0C0"/>
        </a:solidFill>
        <a:ln w="9525">
          <a:solidFill>
            <a:srgbClr val="808080"/>
          </a:solidFill>
        </a:ln>
      </c:spPr>
    </c:plotArea>
    <c:legend>
      <c:legendPos val="b"/>
      <c:layout>
        <c:manualLayout>
          <c:xMode val="edge"/>
          <c:yMode val="edge"/>
          <c:wMode val="factor"/>
          <c:hMode val="factor"/>
          <c:x val="0.282250"/>
          <c:y val="0.918750"/>
          <c:w val="0.489000"/>
          <c:h val="0.061250"/>
        </c:manualLayout>
      </c:layout>
      <c:overlay val="0"/>
      <c:spPr>
        <a:solidFill>
          <a:srgbClr val="FFFFFF"/>
        </a:solidFill>
        <a:ln w="9525">
          <a:solidFill>
            <a:srgbClr val="000000"/>
          </a:solidFill>
        </a:ln>
      </c:spPr>
      <c:txPr>
        <a:bodyPr/>
        <a:lstStyle/>
        <a:p>
          <a:pPr>
            <a:defRPr lang="de-de" sz="735" b="0" i="0" u="none" strike="noStrike" kern="100">
              <a:solidFill>
                <a:srgbClr val="000000"/>
              </a:solidFill>
              <a:latin typeface="Times New Roman" charset="0"/>
            </a:defRPr>
          </a:pPr>
        </a:p>
      </c:txPr>
    </c:legend>
    <c:plotVisOnly val="1"/>
    <c:dispBlanksAs val="gap"/>
  </c:chart>
  <c:spPr>
    <a:solidFill>
      <a:srgbClr val="FFFFFF"/>
    </a:solidFill>
    <a:ln w="9525">
      <a:solidFill>
        <a:srgbClr val="000000"/>
      </a:solidFill>
    </a:ln>
  </c:spPr>
  <c:txPr>
    <a:bodyPr anchor="t" rot="0"/>
    <a:lstStyle/>
    <a:p>
      <a:pPr>
        <a:defRPr lang="de-de" sz="1575" b="0" i="0" u="none" strike="noStrike" kern="100">
          <a:solidFill>
            <a:srgbClr val="000000"/>
          </a:solidFill>
          <a:latin typeface="Times New Roman" charset="0"/>
        </a:defRPr>
      </a:pPr>
    </a:p>
  </c:txPr>
  <c:extLst>
    <c:ext xmlns:sm="smo" uri="smo">
      <sm:colorScheme xmlns:sm="smo" id="1598996201" val="15"/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anchor="ctr" anchorCtr="1"/>
          <a:lstStyle/>
          <a:p>
            <a:pPr>
              <a:defRPr lang="de-de" sz="875" b="1" i="0" u="none" strike="noStrike" kern="100">
                <a:solidFill>
                  <a:srgbClr val="000000"/>
                </a:solidFill>
                <a:latin typeface="Times New Roman" charset="0"/>
              </a:defRPr>
            </a:pPr>
            <a:r>
              <a:t>Monatskosten in €</a:t>
            </a:r>
          </a:p>
        </c:rich>
      </c:tx>
      <c:layout>
        <c:manualLayout>
          <c:xMode val="edge"/>
          <c:yMode val="edge"/>
          <c:x val="0.417500"/>
          <c:y val="0.039000"/>
        </c:manualLayout>
      </c:layout>
      <c:overlay val="0"/>
      <c:spPr>
        <a:noFill/>
        <a:ln w="19050">
          <a:noFill/>
        </a:ln>
      </c:spPr>
    </c:title>
    <c:plotArea>
      <c:layout>
        <c:manualLayout>
          <c:xMode val="edge"/>
          <c:yMode val="edge"/>
          <c:wMode val="factor"/>
          <c:hMode val="factor"/>
          <c:x val="0.100000"/>
          <c:y val="0.114750"/>
          <c:w val="0.872500"/>
          <c:h val="0.753500"/>
        </c:manualLayout>
      </c:layout>
      <c:lineChart>
        <c:grouping val="standard"/>
        <c:ser>
          <c:idx val="0"/>
          <c:order val="0"/>
          <c:tx>
            <c:strRef>
              <c:f>Heizöl!$L$1</c:f>
              <c:strCache>
                <c:ptCount val="1"/>
                <c:pt idx="0">
                  <c:v>Monats-kosten</c:v>
                </c:pt>
              </c:strCache>
            </c:strRef>
          </c:tx>
          <c:spPr>
            <a:ln w="9525">
              <a:solidFill>
                <a:srgbClr val="000080"/>
              </a:solidFill>
            </a:ln>
          </c:spPr>
          <c:marker>
            <c:symbol val="square"/>
            <c:size val="3"/>
            <c:spPr>
              <a:solidFill>
                <a:srgbClr val="000080"/>
              </a:solidFill>
              <a:ln>
                <a:noFill/>
              </a:ln>
            </c:spPr>
          </c:marker>
          <c:cat>
            <c:strRef>
              <c:f>Heizöl!$M$3:$M$30</c:f>
              <c:strCache>
                <c:ptCount val="28"/>
                <c:pt idx="0">
                  <c:v>87</c:v>
                </c:pt>
                <c:pt idx="1">
                  <c:v>88</c:v>
                </c:pt>
                <c:pt idx="2">
                  <c:v>89</c:v>
                </c:pt>
                <c:pt idx="3">
                  <c:v>90</c:v>
                </c:pt>
                <c:pt idx="4">
                  <c:v>91</c:v>
                </c:pt>
                <c:pt idx="5">
                  <c:v>92</c:v>
                </c:pt>
                <c:pt idx="6">
                  <c:v>93</c:v>
                </c:pt>
                <c:pt idx="7">
                  <c:v>94</c:v>
                </c:pt>
                <c:pt idx="8">
                  <c:v>95</c:v>
                </c:pt>
                <c:pt idx="9">
                  <c:v>96</c:v>
                </c:pt>
                <c:pt idx="10">
                  <c:v>97</c:v>
                </c:pt>
                <c:pt idx="11">
                  <c:v>98</c:v>
                </c:pt>
                <c:pt idx="12">
                  <c:v>99</c:v>
                </c:pt>
                <c:pt idx="13">
                  <c:v>00</c:v>
                </c:pt>
                <c:pt idx="14">
                  <c:v>01</c:v>
                </c:pt>
                <c:pt idx="15">
                  <c:v>02</c:v>
                </c:pt>
                <c:pt idx="16">
                  <c:v>03</c:v>
                </c:pt>
                <c:pt idx="17">
                  <c:v>04</c:v>
                </c:pt>
                <c:pt idx="18">
                  <c:v>05</c:v>
                </c:pt>
                <c:pt idx="19">
                  <c:v>06</c:v>
                </c:pt>
                <c:pt idx="20">
                  <c:v>07</c:v>
                </c:pt>
                <c:pt idx="21">
                  <c:v>08</c:v>
                </c:pt>
                <c:pt idx="22">
                  <c:v>09</c:v>
                </c:pt>
                <c:pt idx="23">
                  <c:v>10</c:v>
                </c:pt>
                <c:pt idx="24">
                  <c:v>11</c:v>
                </c:pt>
                <c:pt idx="25">
                  <c:v>12</c:v>
                </c:pt>
                <c:pt idx="26">
                  <c:v>13</c:v>
                </c:pt>
                <c:pt idx="27">
                  <c:v>14</c:v>
                </c:pt>
              </c:strCache>
            </c:strRef>
          </c:cat>
          <c:val>
            <c:numRef>
              <c:f>Heizöl!$L$3:$L$30</c:f>
              <c:numCache>
                <c:formatCode>General</c:formatCode>
                <c:ptCount val="28"/>
                <c:pt idx="0">
                  <c:v>34.024939</c:v>
                </c:pt>
                <c:pt idx="1">
                  <c:v>36.788899</c:v>
                </c:pt>
                <c:pt idx="2">
                  <c:v>36.703894</c:v>
                </c:pt>
                <c:pt idx="3">
                  <c:v>58.995381</c:v>
                </c:pt>
                <c:pt idx="4">
                  <c:v>73.867029</c:v>
                </c:pt>
                <c:pt idx="5">
                  <c:v>59.846708</c:v>
                </c:pt>
                <c:pt idx="6">
                  <c:v>53.799031</c:v>
                </c:pt>
                <c:pt idx="7">
                  <c:v>51.779307</c:v>
                </c:pt>
                <c:pt idx="8">
                  <c:v>42.137812</c:v>
                </c:pt>
                <c:pt idx="9">
                  <c:v>51.042821</c:v>
                </c:pt>
                <c:pt idx="10">
                  <c:v>58.707103</c:v>
                </c:pt>
                <c:pt idx="11">
                  <c:v>52.795728</c:v>
                </c:pt>
                <c:pt idx="12">
                  <c:v>46.394983</c:v>
                </c:pt>
                <c:pt idx="13">
                  <c:v>65.479594</c:v>
                </c:pt>
                <c:pt idx="14">
                  <c:v>108.973658</c:v>
                </c:pt>
                <c:pt idx="15">
                  <c:v>70.669144</c:v>
                </c:pt>
                <c:pt idx="16">
                  <c:v>82.058688</c:v>
                </c:pt>
                <c:pt idx="17">
                  <c:v>66.402908</c:v>
                </c:pt>
                <c:pt idx="18">
                  <c:v>62.222388</c:v>
                </c:pt>
                <c:pt idx="19">
                  <c:v>111.640782</c:v>
                </c:pt>
                <c:pt idx="20">
                  <c:v>83.950019</c:v>
                </c:pt>
                <c:pt idx="21">
                  <c:v>80.854483</c:v>
                </c:pt>
                <c:pt idx="22">
                  <c:v>107.792069</c:v>
                </c:pt>
                <c:pt idx="23">
                  <c:v>110.638031</c:v>
                </c:pt>
                <c:pt idx="24">
                  <c:v>112.400170</c:v>
                </c:pt>
                <c:pt idx="25">
                  <c:v>143.341158</c:v>
                </c:pt>
                <c:pt idx="26">
                  <c:v>142.604326</c:v>
                </c:pt>
                <c:pt idx="27">
                  <c:v>143.604504</c:v>
                </c:pt>
              </c:numCache>
            </c:numRef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marker val="1"/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majorGridlines>
          <c:spPr>
            <a:ln w="9525">
              <a:solidFill>
                <a:srgbClr val="000000"/>
              </a:solidFill>
            </a:ln>
          </c:spPr>
        </c:majorGridlines>
        <c:numFmt formatCode="@" sourceLinked="1"/>
        <c:majorTickMark val="out"/>
        <c:minorTickMark val="none"/>
        <c:tickLblPos val="nextTo"/>
        <c:spPr>
          <a:ln w="9525">
            <a:solidFill>
              <a:srgbClr val="000000"/>
            </a:solidFill>
          </a:ln>
        </c:spPr>
        <c:txPr>
          <a:bodyPr/>
          <a:lstStyle/>
          <a:p>
            <a:pPr>
              <a:defRPr lang="de-de" sz="875" b="0" i="0" u="none" strike="noStrike" kern="100">
                <a:solidFill>
                  <a:srgbClr val="000000"/>
                </a:solidFill>
                <a:latin typeface="Times New Roman" charset="0"/>
              </a:defRPr>
            </a:pPr>
          </a:p>
        </c:txPr>
        <c:crossAx val="11"/>
        <c:crosses val="autoZero"/>
        <c:auto val="1"/>
        <c:lblAlgn val="l"/>
      </c:catAx>
      <c:valAx>
        <c:axId val="11"/>
        <c:scaling>
          <c:orientation val="minMax"/>
          <c:max val="150.000000"/>
          <c:min val="30.000000"/>
        </c:scaling>
        <c:delete val="0"/>
        <c:axPos val="l"/>
        <c:majorGridlines>
          <c:spPr>
            <a:ln w="9525">
              <a:solidFill>
                <a:srgbClr val="000000"/>
              </a:solidFill>
            </a:ln>
          </c:spPr>
        </c:majorGridlines>
        <c:numFmt formatCode="#,##0.00\ &quot;€&quot;" sourceLinked="1"/>
        <c:majorTickMark val="out"/>
        <c:minorTickMark val="none"/>
        <c:tickLblPos val="nextTo"/>
        <c:spPr>
          <a:ln w="9525">
            <a:solidFill>
              <a:srgbClr val="000000"/>
            </a:solidFill>
          </a:ln>
        </c:spPr>
        <c:txPr>
          <a:bodyPr/>
          <a:lstStyle/>
          <a:p>
            <a:pPr>
              <a:defRPr lang="de-de" sz="875" b="0" i="0" u="none" strike="noStrike" kern="100">
                <a:solidFill>
                  <a:srgbClr val="000000"/>
                </a:solidFill>
                <a:latin typeface="Times New Roman" charset="0"/>
              </a:defRPr>
            </a:pPr>
          </a:p>
        </c:txPr>
        <c:crossAx val="10"/>
        <c:crosses val="autoZero"/>
        <c:crossBetween val="between"/>
        <c:majorUnit val="10.000000"/>
        <c:minorUnit val="5.000000"/>
      </c:valAx>
      <c:spPr>
        <a:solidFill>
          <a:srgbClr val="C0C0C0"/>
        </a:solidFill>
        <a:ln w="9525">
          <a:solidFill>
            <a:srgbClr val="808080"/>
          </a:solidFill>
        </a:ln>
      </c:spPr>
    </c:plotArea>
    <c:plotVisOnly val="1"/>
    <c:dispBlanksAs val="gap"/>
  </c:chart>
  <c:spPr>
    <a:solidFill>
      <a:srgbClr val="FFFFFF"/>
    </a:solidFill>
    <a:ln w="9525">
      <a:solidFill>
        <a:srgbClr val="000000"/>
      </a:solidFill>
    </a:ln>
  </c:spPr>
  <c:txPr>
    <a:bodyPr anchor="t" rot="0"/>
    <a:lstStyle/>
    <a:p>
      <a:pPr>
        <a:defRPr lang="de-de" sz="1575" b="0" i="0" u="none" strike="noStrike" kern="100">
          <a:solidFill>
            <a:srgbClr val="000000"/>
          </a:solidFill>
          <a:latin typeface="Times New Roman" charset="0"/>
        </a:defRPr>
      </a:pPr>
    </a:p>
  </c:txPr>
  <c:extLst>
    <c:ext xmlns:sm="smo" uri="smo">
      <sm:colorScheme xmlns:sm="smo" id="1598996201" val="15"/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anchor="ctr" anchorCtr="1"/>
          <a:lstStyle/>
          <a:p>
            <a:pPr>
              <a:defRPr lang="de-de" sz="1400" b="1" i="0" u="none" strike="noStrike" kern="100">
                <a:solidFill>
                  <a:srgbClr val="000000"/>
                </a:solidFill>
                <a:latin typeface="Calibri" charset="0"/>
              </a:defRPr>
            </a:pPr>
            <a:r>
              <a:t>Stromverbrauch</a:t>
            </a:r>
          </a:p>
        </c:rich>
      </c:tx>
      <c:layout/>
      <c:overlay val="0"/>
    </c:title>
    <c:plotArea>
      <c:layout/>
      <c:lineChart>
        <c:grouping val="standard"/>
        <c:ser>
          <c:idx val="0"/>
          <c:order val="0"/>
          <c:tx>
            <c:v>2015</c:v>
          </c:tx>
          <c:marker>
            <c:symbol val="diamond"/>
            <c:size val="2"/>
            <c:spPr>
              <a:solidFill>
                <a:srgbClr val="00007F"/>
              </a:solidFill>
              <a:ln>
                <a:solidFill>
                  <a:srgbClr val="00007F"/>
                </a:solidFill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12"/>
              <c:pt idx="0">
                <c:v>Januar</c:v>
              </c:pt>
              <c:pt idx="1">
                <c:v>Februar</c:v>
              </c:pt>
              <c:pt idx="2">
                <c:v>März</c:v>
              </c:pt>
              <c:pt idx="3">
                <c:v>April</c:v>
              </c:pt>
              <c:pt idx="4">
                <c:v>Mai</c:v>
              </c:pt>
              <c:pt idx="5">
                <c:v>Juni</c:v>
              </c:pt>
              <c:pt idx="6">
                <c:v>Juli</c:v>
              </c:pt>
              <c:pt idx="7">
                <c:v>August</c:v>
              </c:pt>
              <c:pt idx="8">
                <c:v>September</c:v>
              </c:pt>
              <c:pt idx="9">
                <c:v>Oktober</c:v>
              </c:pt>
              <c:pt idx="10">
                <c:v>November</c:v>
              </c:pt>
              <c:pt idx="11">
                <c:v>Dezember</c:v>
              </c:pt>
            </c:strLit>
          </c:cat>
          <c:val>
            <c:numLit>
              <c:formatCode>General</c:formatCode>
              <c:ptCount val="12"/>
              <c:pt idx="0">
                <c:v>196.700000</c:v>
              </c:pt>
              <c:pt idx="1">
                <c:v>166.600000</c:v>
              </c:pt>
              <c:pt idx="2">
                <c:v>173.400000</c:v>
              </c:pt>
              <c:pt idx="3">
                <c:v>162.100000</c:v>
              </c:pt>
              <c:pt idx="4">
                <c:v>169.400000</c:v>
              </c:pt>
              <c:pt idx="5">
                <c:v>142.600000</c:v>
              </c:pt>
              <c:pt idx="6">
                <c:v>134.300000</c:v>
              </c:pt>
              <c:pt idx="7">
                <c:v>140.900000</c:v>
              </c:pt>
              <c:pt idx="8">
                <c:v>149.500000</c:v>
              </c:pt>
              <c:pt idx="9">
                <c:v>182.200000</c:v>
              </c:pt>
              <c:pt idx="10">
                <c:v>185.300000</c:v>
              </c:pt>
              <c:pt idx="11">
                <c:v>179.900000</c:v>
              </c:pt>
            </c:numLit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v>2016</c:v>
          </c:tx>
          <c:marker>
            <c:symbol val="square"/>
            <c:size val="2"/>
            <c:spPr>
              <a:solidFill>
                <a:srgbClr val="AD5258"/>
              </a:solidFill>
              <a:ln>
                <a:solidFill>
                  <a:srgbClr val="AD5258"/>
                </a:solidFill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12"/>
              <c:pt idx="0">
                <c:v>Januar</c:v>
              </c:pt>
              <c:pt idx="1">
                <c:v>Februar</c:v>
              </c:pt>
              <c:pt idx="2">
                <c:v>März</c:v>
              </c:pt>
              <c:pt idx="3">
                <c:v>April</c:v>
              </c:pt>
              <c:pt idx="4">
                <c:v>Mai</c:v>
              </c:pt>
              <c:pt idx="5">
                <c:v>Juni</c:v>
              </c:pt>
              <c:pt idx="6">
                <c:v>Juli</c:v>
              </c:pt>
              <c:pt idx="7">
                <c:v>August</c:v>
              </c:pt>
              <c:pt idx="8">
                <c:v>September</c:v>
              </c:pt>
              <c:pt idx="9">
                <c:v>Oktober</c:v>
              </c:pt>
              <c:pt idx="10">
                <c:v>November</c:v>
              </c:pt>
              <c:pt idx="11">
                <c:v>Dezember</c:v>
              </c:pt>
            </c:strLit>
          </c:cat>
          <c:val>
            <c:numLit>
              <c:formatCode>General</c:formatCode>
              <c:ptCount val="12"/>
              <c:pt idx="0">
                <c:v>204.100000</c:v>
              </c:pt>
              <c:pt idx="1">
                <c:v>170.400000</c:v>
              </c:pt>
              <c:pt idx="2">
                <c:v>168.400000</c:v>
              </c:pt>
              <c:pt idx="3">
                <c:v>145.700000</c:v>
              </c:pt>
              <c:pt idx="4">
                <c:v>151.400000</c:v>
              </c:pt>
              <c:pt idx="5">
                <c:v>122.400000</c:v>
              </c:pt>
              <c:pt idx="6">
                <c:v>132.300000</c:v>
              </c:pt>
              <c:pt idx="7">
                <c:v>145.700000</c:v>
              </c:pt>
              <c:pt idx="8">
                <c:v>132</c:v>
              </c:pt>
              <c:pt idx="9">
                <c:v>188.800000</c:v>
              </c:pt>
              <c:pt idx="10">
                <c:v>182.800000</c:v>
              </c:pt>
              <c:pt idx="11">
                <c:v>181</c:v>
              </c:pt>
            </c:numLit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v>2017</c:v>
          </c:tx>
          <c:marker>
            <c:symbol val="triangle"/>
            <c:size val="2"/>
            <c:spPr>
              <a:solidFill>
                <a:srgbClr val="728C39"/>
              </a:solidFill>
              <a:ln>
                <a:solidFill>
                  <a:srgbClr val="728C39"/>
                </a:solidFill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12"/>
              <c:pt idx="0">
                <c:v>Januar</c:v>
              </c:pt>
              <c:pt idx="1">
                <c:v>Februar</c:v>
              </c:pt>
              <c:pt idx="2">
                <c:v>März</c:v>
              </c:pt>
              <c:pt idx="3">
                <c:v>April</c:v>
              </c:pt>
              <c:pt idx="4">
                <c:v>Mai</c:v>
              </c:pt>
              <c:pt idx="5">
                <c:v>Juni</c:v>
              </c:pt>
              <c:pt idx="6">
                <c:v>Juli</c:v>
              </c:pt>
              <c:pt idx="7">
                <c:v>August</c:v>
              </c:pt>
              <c:pt idx="8">
                <c:v>September</c:v>
              </c:pt>
              <c:pt idx="9">
                <c:v>Oktober</c:v>
              </c:pt>
              <c:pt idx="10">
                <c:v>November</c:v>
              </c:pt>
              <c:pt idx="11">
                <c:v>Dezember</c:v>
              </c:pt>
            </c:strLit>
          </c:cat>
          <c:val>
            <c:numLit>
              <c:formatCode>General</c:formatCode>
              <c:ptCount val="12"/>
              <c:pt idx="0">
                <c:v>212.500000</c:v>
              </c:pt>
              <c:pt idx="1">
                <c:v>165.300000</c:v>
              </c:pt>
              <c:pt idx="2">
                <c:v>155.600000</c:v>
              </c:pt>
              <c:pt idx="3">
                <c:v>144</c:v>
              </c:pt>
              <c:pt idx="4">
                <c:v>129.600000</c:v>
              </c:pt>
              <c:pt idx="5">
                <c:v>111.200000</c:v>
              </c:pt>
              <c:pt idx="6">
                <c:v>118.300000</c:v>
              </c:pt>
              <c:pt idx="7">
                <c:v>123.400000</c:v>
              </c:pt>
              <c:pt idx="8">
                <c:v>138.700000</c:v>
              </c:pt>
              <c:pt idx="9">
                <c:v>165.300000</c:v>
              </c:pt>
              <c:pt idx="10">
                <c:v>172.600000</c:v>
              </c:pt>
              <c:pt idx="11">
                <c:v>178.500000</c:v>
              </c:pt>
            </c:numLit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v>2018</c:v>
          </c:tx>
          <c:marker>
            <c:symbol val="square"/>
            <c:size val="2"/>
            <c:spPr>
              <a:solidFill>
                <a:srgbClr val="624D68"/>
              </a:solidFill>
              <a:ln>
                <a:solidFill>
                  <a:srgbClr val="624D68"/>
                </a:solidFill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12"/>
              <c:pt idx="0">
                <c:v>Januar</c:v>
              </c:pt>
              <c:pt idx="1">
                <c:v>Februar</c:v>
              </c:pt>
              <c:pt idx="2">
                <c:v>März</c:v>
              </c:pt>
              <c:pt idx="3">
                <c:v>April</c:v>
              </c:pt>
              <c:pt idx="4">
                <c:v>Mai</c:v>
              </c:pt>
              <c:pt idx="5">
                <c:v>Juni</c:v>
              </c:pt>
              <c:pt idx="6">
                <c:v>Juli</c:v>
              </c:pt>
              <c:pt idx="7">
                <c:v>August</c:v>
              </c:pt>
              <c:pt idx="8">
                <c:v>September</c:v>
              </c:pt>
              <c:pt idx="9">
                <c:v>Oktober</c:v>
              </c:pt>
              <c:pt idx="10">
                <c:v>November</c:v>
              </c:pt>
              <c:pt idx="11">
                <c:v>Dezember</c:v>
              </c:pt>
            </c:strLit>
          </c:cat>
          <c:val>
            <c:numLit>
              <c:formatCode>General</c:formatCode>
              <c:ptCount val="12"/>
              <c:pt idx="0">
                <c:v>177.200000</c:v>
              </c:pt>
              <c:pt idx="1">
                <c:v>170.700000</c:v>
              </c:pt>
              <c:pt idx="2">
                <c:v>180.900000</c:v>
              </c:pt>
              <c:pt idx="3">
                <c:v>141.800000</c:v>
              </c:pt>
              <c:pt idx="4">
                <c:v>130.700000</c:v>
              </c:pt>
              <c:pt idx="5">
                <c:v>120.200000</c:v>
              </c:pt>
              <c:pt idx="6">
                <c:v>123.500000</c:v>
              </c:pt>
              <c:pt idx="7">
                <c:v>122.700000</c:v>
              </c:pt>
              <c:pt idx="8">
                <c:v>132.600000</c:v>
              </c:pt>
              <c:pt idx="9">
                <c:v>152</c:v>
              </c:pt>
              <c:pt idx="10">
                <c:v>172.100000</c:v>
              </c:pt>
              <c:pt idx="11">
                <c:v>177.800000</c:v>
              </c:pt>
            </c:numLit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v>2019</c:v>
          </c:tx>
          <c:marker>
            <c:symbol val="square"/>
            <c:size val="2"/>
            <c:spPr>
              <a:solidFill>
                <a:srgbClr val="558086"/>
              </a:solidFill>
              <a:ln>
                <a:solidFill>
                  <a:srgbClr val="558086"/>
                </a:solidFill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txPr>
              <a:bodyPr anchor="ctr" anchorCtr="1"/>
              <a:lstStyle/>
              <a:p>
                <a:pPr>
                  <a:defRPr lang="de-de" sz="1000" b="0" i="0" u="none" strike="noStrike" kern="100">
                    <a:solidFill>
                      <a:srgbClr val="000000"/>
                    </a:solidFill>
                    <a:latin typeface="Arial" charset="0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Lit>
              <c:formatCode>General</c:formatCode>
              <c:ptCount val="12"/>
              <c:pt idx="0">
                <c:v>189.200000</c:v>
              </c:pt>
              <c:pt idx="1">
                <c:v>150.300000</c:v>
              </c:pt>
              <c:pt idx="2">
                <c:v>166.900000</c:v>
              </c:pt>
              <c:pt idx="3">
                <c:v>137.300000</c:v>
              </c:pt>
              <c:pt idx="4">
                <c:v>155.400000</c:v>
              </c:pt>
              <c:pt idx="5">
                <c:v>129.800000</c:v>
              </c:pt>
              <c:pt idx="6">
                <c:v>140.100000</c:v>
              </c:pt>
              <c:pt idx="7">
                <c:v>126.300000</c:v>
              </c:pt>
              <c:pt idx="8">
                <c:v>143.200000</c:v>
              </c:pt>
              <c:pt idx="9">
                <c:v>169.800000</c:v>
              </c:pt>
              <c:pt idx="10">
                <c:v>161.600000</c:v>
              </c:pt>
              <c:pt idx="11">
                <c:v>169.300000</c:v>
              </c:pt>
            </c:numLit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marker val="1"/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5400000"/>
          <a:lstStyle/>
          <a:p>
            <a:pPr>
              <a:defRPr lang="de-de" sz="800" b="0" i="0" u="none" strike="noStrike" kern="100">
                <a:solidFill>
                  <a:srgbClr val="000000"/>
                </a:solidFill>
                <a:latin typeface="Calibri" charset="0"/>
              </a:defRPr>
            </a:pPr>
          </a:p>
        </c:txPr>
        <c:crossAx val="11"/>
        <c:crossesAt val="100.000000"/>
        <c:auto val="1"/>
        <c:lblAlgn val="l"/>
      </c:catAx>
      <c:valAx>
        <c:axId val="11"/>
        <c:scaling>
          <c:orientation val="minMax"/>
          <c:min val="100.000000"/>
        </c:scaling>
        <c:delete val="0"/>
        <c:axPos val="l"/>
        <c:majorGridlines/>
        <c:numFmt formatCode="0" sourceLinked="0"/>
        <c:majorTickMark val="out"/>
        <c:minorTickMark val="none"/>
        <c:tickLblPos val="nextTo"/>
        <c:crossAx val="1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factor"/>
          <c:hMode val="factor"/>
          <c:x val="0.846250"/>
          <c:y val="0.491500"/>
          <c:w val="0.128000"/>
          <c:h val="0.382500"/>
        </c:manualLayout>
      </c:layout>
      <c:overlay val="0"/>
      <c:spPr>
        <a:ln w="9525">
          <a:noFill/>
        </a:ln>
      </c:spPr>
      <c:txPr>
        <a:bodyPr/>
        <a:lstStyle/>
        <a:p>
          <a:pPr>
            <a:defRPr/>
          </a:pPr>
        </a:p>
      </c:txPr>
    </c:legend>
    <c:plotVisOnly val="1"/>
    <c:dispBlanksAs val="gap"/>
  </c:chart>
  <c:spPr/>
  <c:txPr>
    <a:bodyPr anchor="t" rot="0"/>
    <a:lstStyle/>
    <a:p>
      <a:pPr>
        <a:defRPr lang="de-de" sz="1000" b="0" i="0" u="none" strike="noStrike" kern="100">
          <a:solidFill>
            <a:srgbClr val="000000"/>
          </a:solidFill>
          <a:latin typeface="Calibri" charset="0"/>
        </a:defRPr>
      </a:pPr>
    </a:p>
  </c:txPr>
  <c:extLst>
    <c:ext xmlns:sm="smo" uri="smo">
      <sm:colorScheme xmlns:sm="smo" id="1598996201" val="15"/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anchor="ctr" anchorCtr="1"/>
          <a:lstStyle/>
          <a:p>
            <a:pPr>
              <a:defRPr lang="de-de" sz="1400" b="1" i="0" u="none" strike="noStrike" kern="100">
                <a:solidFill>
                  <a:srgbClr val="000000"/>
                </a:solidFill>
                <a:latin typeface="Calibri" charset="0"/>
              </a:defRPr>
            </a:pPr>
            <a:r>
              <a:t>Heizölverbrauch</a:t>
            </a:r>
          </a:p>
        </c:rich>
      </c:tx>
      <c:layout/>
      <c:overlay val="0"/>
    </c:title>
    <c:plotArea>
      <c:layout/>
      <c:lineChart>
        <c:grouping val="standard"/>
        <c:ser>
          <c:idx val="0"/>
          <c:order val="0"/>
          <c:tx>
            <c:v>2015</c:v>
          </c:tx>
          <c:marker>
            <c:symbol val="diamond"/>
            <c:size val="3"/>
            <c:spPr>
              <a:solidFill>
                <a:srgbClr val="000000"/>
              </a:solidFill>
              <a:ln>
                <a:solidFill>
                  <a:srgbClr val="000000"/>
                </a:solidFill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12"/>
              <c:pt idx="0">
                <c:v>Januar</c:v>
              </c:pt>
              <c:pt idx="1">
                <c:v>Februar</c:v>
              </c:pt>
              <c:pt idx="2">
                <c:v>März</c:v>
              </c:pt>
              <c:pt idx="3">
                <c:v>April</c:v>
              </c:pt>
              <c:pt idx="4">
                <c:v>Mai</c:v>
              </c:pt>
              <c:pt idx="5">
                <c:v>Juni</c:v>
              </c:pt>
              <c:pt idx="6">
                <c:v>Juli</c:v>
              </c:pt>
              <c:pt idx="7">
                <c:v>August</c:v>
              </c:pt>
              <c:pt idx="8">
                <c:v>September</c:v>
              </c:pt>
              <c:pt idx="9">
                <c:v>Oktober</c:v>
              </c:pt>
              <c:pt idx="10">
                <c:v>November</c:v>
              </c:pt>
              <c:pt idx="11">
                <c:v>Dezember</c:v>
              </c:pt>
            </c:strLit>
          </c:cat>
          <c:val>
            <c:numLit>
              <c:formatCode>General</c:formatCode>
              <c:ptCount val="12"/>
              <c:pt idx="0">
                <c:v>336.660000</c:v>
              </c:pt>
              <c:pt idx="1">
                <c:v>257.140000</c:v>
              </c:pt>
              <c:pt idx="2">
                <c:v>199.990000</c:v>
              </c:pt>
              <c:pt idx="3">
                <c:v>157.150000</c:v>
              </c:pt>
              <c:pt idx="4">
                <c:v>142.850000</c:v>
              </c:pt>
              <c:pt idx="5">
                <c:v>71.430000</c:v>
              </c:pt>
              <c:pt idx="6">
                <c:v>57.150000</c:v>
              </c:pt>
              <c:pt idx="7">
                <c:v>42.860000</c:v>
              </c:pt>
              <c:pt idx="8">
                <c:v>102.850000</c:v>
              </c:pt>
              <c:pt idx="9">
                <c:v>205.720000</c:v>
              </c:pt>
              <c:pt idx="10">
                <c:v>214.280000</c:v>
              </c:pt>
              <c:pt idx="11">
                <c:v>200.010000</c:v>
              </c:pt>
            </c:numLit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v>2016</c:v>
          </c:tx>
          <c:marker>
            <c:symbol val="square"/>
            <c:size val="3"/>
            <c:spPr>
              <a:solidFill>
                <a:srgbClr val="000000"/>
              </a:solidFill>
              <a:ln>
                <a:solidFill>
                  <a:srgbClr val="000000"/>
                </a:solidFill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12"/>
              <c:pt idx="0">
                <c:v>Januar</c:v>
              </c:pt>
              <c:pt idx="1">
                <c:v>Februar</c:v>
              </c:pt>
              <c:pt idx="2">
                <c:v>März</c:v>
              </c:pt>
              <c:pt idx="3">
                <c:v>April</c:v>
              </c:pt>
              <c:pt idx="4">
                <c:v>Mai</c:v>
              </c:pt>
              <c:pt idx="5">
                <c:v>Juni</c:v>
              </c:pt>
              <c:pt idx="6">
                <c:v>Juli</c:v>
              </c:pt>
              <c:pt idx="7">
                <c:v>August</c:v>
              </c:pt>
              <c:pt idx="8">
                <c:v>September</c:v>
              </c:pt>
              <c:pt idx="9">
                <c:v>Oktober</c:v>
              </c:pt>
              <c:pt idx="10">
                <c:v>November</c:v>
              </c:pt>
              <c:pt idx="11">
                <c:v>Dezember</c:v>
              </c:pt>
            </c:strLit>
          </c:cat>
          <c:val>
            <c:numLit>
              <c:formatCode>General</c:formatCode>
              <c:ptCount val="12"/>
              <c:pt idx="0">
                <c:v>334.280000</c:v>
              </c:pt>
              <c:pt idx="1">
                <c:v>277.140000</c:v>
              </c:pt>
              <c:pt idx="2">
                <c:v>231.430000</c:v>
              </c:pt>
              <c:pt idx="3">
                <c:v>162.860000</c:v>
              </c:pt>
              <c:pt idx="4">
                <c:v>88.570000</c:v>
              </c:pt>
              <c:pt idx="5">
                <c:v>60</c:v>
              </c:pt>
              <c:pt idx="6">
                <c:v>48.570000</c:v>
              </c:pt>
              <c:pt idx="7">
                <c:v>45.710000</c:v>
              </c:pt>
              <c:pt idx="8">
                <c:v>71</c:v>
              </c:pt>
              <c:pt idx="9">
                <c:v>222.860000</c:v>
              </c:pt>
              <c:pt idx="10">
                <c:v>251.420000</c:v>
              </c:pt>
              <c:pt idx="11">
                <c:v>277.150000</c:v>
              </c:pt>
            </c:numLit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v>2017</c:v>
          </c:tx>
          <c:marker>
            <c:symbol val="triangle"/>
            <c:size val="3"/>
            <c:spPr>
              <a:solidFill>
                <a:srgbClr val="000000"/>
              </a:solidFill>
              <a:ln>
                <a:solidFill>
                  <a:srgbClr val="000000"/>
                </a:solidFill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12"/>
              <c:pt idx="0">
                <c:v>Januar</c:v>
              </c:pt>
              <c:pt idx="1">
                <c:v>Februar</c:v>
              </c:pt>
              <c:pt idx="2">
                <c:v>März</c:v>
              </c:pt>
              <c:pt idx="3">
                <c:v>April</c:v>
              </c:pt>
              <c:pt idx="4">
                <c:v>Mai</c:v>
              </c:pt>
              <c:pt idx="5">
                <c:v>Juni</c:v>
              </c:pt>
              <c:pt idx="6">
                <c:v>Juli</c:v>
              </c:pt>
              <c:pt idx="7">
                <c:v>August</c:v>
              </c:pt>
              <c:pt idx="8">
                <c:v>September</c:v>
              </c:pt>
              <c:pt idx="9">
                <c:v>Oktober</c:v>
              </c:pt>
              <c:pt idx="10">
                <c:v>November</c:v>
              </c:pt>
              <c:pt idx="11">
                <c:v>Dezember</c:v>
              </c:pt>
            </c:strLit>
          </c:cat>
          <c:val>
            <c:numLit>
              <c:formatCode>General</c:formatCode>
              <c:ptCount val="12"/>
              <c:pt idx="0">
                <c:v>342.850000</c:v>
              </c:pt>
              <c:pt idx="1">
                <c:v>291.430000</c:v>
              </c:pt>
              <c:pt idx="2">
                <c:v>197.150000</c:v>
              </c:pt>
              <c:pt idx="3">
                <c:v>171.420000</c:v>
              </c:pt>
              <c:pt idx="4">
                <c:v>100</c:v>
              </c:pt>
              <c:pt idx="5">
                <c:v>60.010000</c:v>
              </c:pt>
              <c:pt idx="6">
                <c:v>57.140000</c:v>
              </c:pt>
              <c:pt idx="7">
                <c:v>57.140000</c:v>
              </c:pt>
              <c:pt idx="8">
                <c:v>102.300000</c:v>
              </c:pt>
              <c:pt idx="9">
                <c:v>154.840000</c:v>
              </c:pt>
              <c:pt idx="10">
                <c:v>254.290000</c:v>
              </c:pt>
              <c:pt idx="11">
                <c:v>274.280000</c:v>
              </c:pt>
            </c:numLit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v>2018</c:v>
          </c:tx>
          <c:marker>
            <c:symbol val="x"/>
            <c:size val="3"/>
            <c:spPr>
              <a:solidFill>
                <a:srgbClr val="000000"/>
              </a:solidFill>
              <a:ln>
                <a:solidFill>
                  <a:srgbClr val="000000"/>
                </a:solidFill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12"/>
              <c:pt idx="0">
                <c:v>Januar</c:v>
              </c:pt>
              <c:pt idx="1">
                <c:v>Februar</c:v>
              </c:pt>
              <c:pt idx="2">
                <c:v>März</c:v>
              </c:pt>
              <c:pt idx="3">
                <c:v>April</c:v>
              </c:pt>
              <c:pt idx="4">
                <c:v>Mai</c:v>
              </c:pt>
              <c:pt idx="5">
                <c:v>Juni</c:v>
              </c:pt>
              <c:pt idx="6">
                <c:v>Juli</c:v>
              </c:pt>
              <c:pt idx="7">
                <c:v>August</c:v>
              </c:pt>
              <c:pt idx="8">
                <c:v>September</c:v>
              </c:pt>
              <c:pt idx="9">
                <c:v>Oktober</c:v>
              </c:pt>
              <c:pt idx="10">
                <c:v>November</c:v>
              </c:pt>
              <c:pt idx="11">
                <c:v>Dezember</c:v>
              </c:pt>
            </c:strLit>
          </c:cat>
          <c:val>
            <c:numLit>
              <c:formatCode>General</c:formatCode>
              <c:ptCount val="12"/>
              <c:pt idx="0">
                <c:v>291.110000</c:v>
              </c:pt>
              <c:pt idx="1">
                <c:v>347.220000</c:v>
              </c:pt>
              <c:pt idx="2">
                <c:v>313.890000</c:v>
              </c:pt>
              <c:pt idx="3">
                <c:v>127.780000</c:v>
              </c:pt>
              <c:pt idx="4">
                <c:v>66.670000</c:v>
              </c:pt>
              <c:pt idx="5">
                <c:v>47.220000</c:v>
              </c:pt>
              <c:pt idx="6">
                <c:v>50</c:v>
              </c:pt>
              <c:pt idx="7">
                <c:v>58.320000</c:v>
              </c:pt>
              <c:pt idx="8">
                <c:v>72.230000</c:v>
              </c:pt>
              <c:pt idx="9">
                <c:v>177.780000</c:v>
              </c:pt>
              <c:pt idx="10">
                <c:v>258.330000</c:v>
              </c:pt>
              <c:pt idx="11">
                <c:v>252.780000</c:v>
              </c:pt>
            </c:numLit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v>2019</c:v>
          </c:tx>
          <c:marker>
            <c:symbol val="star"/>
            <c:size val="3"/>
            <c:spPr>
              <a:solidFill>
                <a:srgbClr val="000000"/>
              </a:solidFill>
              <a:ln>
                <a:solidFill>
                  <a:srgbClr val="000000"/>
                </a:solidFill>
              </a:ln>
            </c:spPr>
          </c:marker>
          <c:val>
            <c:numLit>
              <c:formatCode>General</c:formatCode>
              <c:ptCount val="12"/>
              <c:pt idx="0">
                <c:v>316.670000</c:v>
              </c:pt>
              <c:pt idx="1">
                <c:v>236.110000</c:v>
              </c:pt>
              <c:pt idx="2">
                <c:v>219.450000</c:v>
              </c:pt>
              <c:pt idx="3">
                <c:v>133.330000</c:v>
              </c:pt>
              <c:pt idx="4">
                <c:v>138.230000</c:v>
              </c:pt>
              <c:pt idx="5">
                <c:v>81</c:v>
              </c:pt>
              <c:pt idx="6">
                <c:v>63.890000</c:v>
              </c:pt>
              <c:pt idx="7">
                <c:v>55.560000</c:v>
              </c:pt>
              <c:pt idx="8">
                <c:v>91.660000</c:v>
              </c:pt>
              <c:pt idx="9">
                <c:v>200</c:v>
              </c:pt>
              <c:pt idx="10">
                <c:v>200</c:v>
              </c:pt>
              <c:pt idx="11">
                <c:v>280.560000</c:v>
              </c:pt>
            </c:numLit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marker val="1"/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1920000"/>
          <a:lstStyle/>
          <a:p>
            <a:pPr>
              <a:defRPr/>
            </a:pPr>
          </a:p>
        </c:txPr>
        <c:crossAx val="11"/>
        <c:crosses val="autoZero"/>
        <c:auto val="1"/>
        <c:lblAlgn val="l"/>
      </c:catAx>
      <c:valAx>
        <c:axId val="11"/>
        <c:scaling>
          <c:orientation val="minMax"/>
        </c:scaling>
        <c:delete val="0"/>
        <c:axPos val="l"/>
        <c:majorGridlines/>
        <c:numFmt formatCode="0" sourceLinked="0"/>
        <c:majorTickMark val="out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  <c:txPr>
        <a:bodyPr/>
        <a:lstStyle/>
        <a:p>
          <a:pPr>
            <a:defRPr/>
          </a:pPr>
        </a:p>
      </c:txPr>
    </c:legend>
    <c:plotVisOnly val="1"/>
    <c:dispBlanksAs val="gap"/>
  </c:chart>
  <c:spPr/>
  <c:txPr>
    <a:bodyPr anchor="t" rot="0"/>
    <a:lstStyle/>
    <a:p>
      <a:pPr>
        <a:defRPr lang="de-de" sz="1000" b="0" i="0" u="none" strike="noStrike" kern="100">
          <a:solidFill>
            <a:srgbClr val="000000"/>
          </a:solidFill>
          <a:latin typeface="Calibri" charset="0"/>
        </a:defRPr>
      </a:pPr>
    </a:p>
  </c:txPr>
  <c:extLst>
    <c:ext xmlns:sm="smo" uri="smo">
      <sm:colorScheme xmlns:sm="smo" id="1598996201" val="15"/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anchor="ctr" anchorCtr="1"/>
          <a:lstStyle/>
          <a:p>
            <a:pPr>
              <a:defRPr lang="de-de" sz="1400" b="1" i="0" u="none" strike="noStrike" kern="100">
                <a:solidFill>
                  <a:srgbClr val="000000"/>
                </a:solidFill>
                <a:latin typeface="Calibri" charset="0"/>
              </a:defRPr>
            </a:pPr>
            <a:r>
              <a:t>Wasserverbrauch</a:t>
            </a:r>
          </a:p>
        </c:rich>
      </c:tx>
      <c:layout/>
      <c:overlay val="0"/>
    </c:title>
    <c:plotArea>
      <c:layout>
        <c:manualLayout>
          <c:xMode val="edge"/>
          <c:yMode val="edge"/>
          <c:wMode val="factor"/>
          <c:hMode val="factor"/>
          <c:x val="0.111000"/>
          <c:y val="0.159250"/>
          <c:w val="0.691500"/>
          <c:h val="0.641750"/>
        </c:manualLayout>
      </c:layout>
      <c:lineChart>
        <c:grouping val="standard"/>
        <c:ser>
          <c:idx val="0"/>
          <c:order val="0"/>
          <c:tx>
            <c:v>2015</c:v>
          </c:tx>
          <c:marker>
            <c:symbol val="diamond"/>
            <c:size val="3"/>
            <c:spPr>
              <a:solidFill>
                <a:srgbClr val="000000"/>
              </a:solidFill>
              <a:ln>
                <a:solidFill>
                  <a:srgbClr val="000000"/>
                </a:solidFill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12"/>
              <c:pt idx="0">
                <c:v>Januar</c:v>
              </c:pt>
              <c:pt idx="1">
                <c:v>Februar</c:v>
              </c:pt>
              <c:pt idx="2">
                <c:v>März</c:v>
              </c:pt>
              <c:pt idx="3">
                <c:v>April</c:v>
              </c:pt>
              <c:pt idx="4">
                <c:v>Mai</c:v>
              </c:pt>
              <c:pt idx="5">
                <c:v>Juni</c:v>
              </c:pt>
              <c:pt idx="6">
                <c:v>Juli</c:v>
              </c:pt>
              <c:pt idx="7">
                <c:v>August</c:v>
              </c:pt>
              <c:pt idx="8">
                <c:v>September</c:v>
              </c:pt>
              <c:pt idx="9">
                <c:v>Oktober</c:v>
              </c:pt>
              <c:pt idx="10">
                <c:v>November</c:v>
              </c:pt>
              <c:pt idx="11">
                <c:v>Dezember</c:v>
              </c:pt>
            </c:strLit>
          </c:cat>
          <c:val>
            <c:numLit>
              <c:formatCode>General</c:formatCode>
              <c:ptCount val="12"/>
              <c:pt idx="0">
                <c:v>8122</c:v>
              </c:pt>
              <c:pt idx="1">
                <c:v>7455</c:v>
              </c:pt>
              <c:pt idx="2">
                <c:v>8191</c:v>
              </c:pt>
              <c:pt idx="3">
                <c:v>8128</c:v>
              </c:pt>
              <c:pt idx="4">
                <c:v>8766</c:v>
              </c:pt>
              <c:pt idx="5">
                <c:v>8259</c:v>
              </c:pt>
              <c:pt idx="6">
                <c:v>8614</c:v>
              </c:pt>
              <c:pt idx="7">
                <c:v>8504</c:v>
              </c:pt>
              <c:pt idx="8">
                <c:v>8015</c:v>
              </c:pt>
              <c:pt idx="9">
                <c:v>8032</c:v>
              </c:pt>
              <c:pt idx="10">
                <c:v>8283</c:v>
              </c:pt>
              <c:pt idx="11">
                <c:v>8691</c:v>
              </c:pt>
            </c:numLit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v>2016</c:v>
          </c:tx>
          <c:marker>
            <c:symbol val="square"/>
            <c:size val="3"/>
            <c:spPr>
              <a:solidFill>
                <a:srgbClr val="000000"/>
              </a:solidFill>
              <a:ln>
                <a:solidFill>
                  <a:srgbClr val="000000"/>
                </a:solidFill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12"/>
              <c:pt idx="0">
                <c:v>Januar</c:v>
              </c:pt>
              <c:pt idx="1">
                <c:v>Februar</c:v>
              </c:pt>
              <c:pt idx="2">
                <c:v>März</c:v>
              </c:pt>
              <c:pt idx="3">
                <c:v>April</c:v>
              </c:pt>
              <c:pt idx="4">
                <c:v>Mai</c:v>
              </c:pt>
              <c:pt idx="5">
                <c:v>Juni</c:v>
              </c:pt>
              <c:pt idx="6">
                <c:v>Juli</c:v>
              </c:pt>
              <c:pt idx="7">
                <c:v>August</c:v>
              </c:pt>
              <c:pt idx="8">
                <c:v>September</c:v>
              </c:pt>
              <c:pt idx="9">
                <c:v>Oktober</c:v>
              </c:pt>
              <c:pt idx="10">
                <c:v>November</c:v>
              </c:pt>
              <c:pt idx="11">
                <c:v>Dezember</c:v>
              </c:pt>
            </c:strLit>
          </c:cat>
          <c:val>
            <c:numLit>
              <c:formatCode>General</c:formatCode>
              <c:ptCount val="12"/>
              <c:pt idx="0">
                <c:v>8885</c:v>
              </c:pt>
              <c:pt idx="1">
                <c:v>7788</c:v>
              </c:pt>
              <c:pt idx="2">
                <c:v>8944</c:v>
              </c:pt>
              <c:pt idx="3">
                <c:v>8234</c:v>
              </c:pt>
              <c:pt idx="4">
                <c:v>8457</c:v>
              </c:pt>
              <c:pt idx="5">
                <c:v>8066</c:v>
              </c:pt>
              <c:pt idx="6">
                <c:v>9269</c:v>
              </c:pt>
              <c:pt idx="7">
                <c:v>9229</c:v>
              </c:pt>
              <c:pt idx="8">
                <c:v>9011</c:v>
              </c:pt>
              <c:pt idx="9">
                <c:v>8606</c:v>
              </c:pt>
              <c:pt idx="10">
                <c:v>9367</c:v>
              </c:pt>
              <c:pt idx="11">
                <c:v>9263</c:v>
              </c:pt>
            </c:numLit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v>2017</c:v>
          </c:tx>
          <c:marker>
            <c:symbol val="triangle"/>
            <c:size val="3"/>
            <c:spPr>
              <a:solidFill>
                <a:srgbClr val="000000"/>
              </a:solidFill>
              <a:ln>
                <a:solidFill>
                  <a:srgbClr val="000000"/>
                </a:solidFill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12"/>
              <c:pt idx="0">
                <c:v>Januar</c:v>
              </c:pt>
              <c:pt idx="1">
                <c:v>Februar</c:v>
              </c:pt>
              <c:pt idx="2">
                <c:v>März</c:v>
              </c:pt>
              <c:pt idx="3">
                <c:v>April</c:v>
              </c:pt>
              <c:pt idx="4">
                <c:v>Mai</c:v>
              </c:pt>
              <c:pt idx="5">
                <c:v>Juni</c:v>
              </c:pt>
              <c:pt idx="6">
                <c:v>Juli</c:v>
              </c:pt>
              <c:pt idx="7">
                <c:v>August</c:v>
              </c:pt>
              <c:pt idx="8">
                <c:v>September</c:v>
              </c:pt>
              <c:pt idx="9">
                <c:v>Oktober</c:v>
              </c:pt>
              <c:pt idx="10">
                <c:v>November</c:v>
              </c:pt>
              <c:pt idx="11">
                <c:v>Dezember</c:v>
              </c:pt>
            </c:strLit>
          </c:cat>
          <c:val>
            <c:numLit>
              <c:formatCode>General</c:formatCode>
              <c:ptCount val="12"/>
              <c:pt idx="0">
                <c:v>8532</c:v>
              </c:pt>
              <c:pt idx="1">
                <c:v>8049</c:v>
              </c:pt>
              <c:pt idx="2">
                <c:v>9043</c:v>
              </c:pt>
              <c:pt idx="3">
                <c:v>8799</c:v>
              </c:pt>
              <c:pt idx="4">
                <c:v>9476</c:v>
              </c:pt>
              <c:pt idx="5">
                <c:v>8699</c:v>
              </c:pt>
              <c:pt idx="6">
                <c:v>8788</c:v>
              </c:pt>
              <c:pt idx="7">
                <c:v>9178</c:v>
              </c:pt>
              <c:pt idx="8">
                <c:v>8949</c:v>
              </c:pt>
              <c:pt idx="9">
                <c:v>9569</c:v>
              </c:pt>
              <c:pt idx="10">
                <c:v>9287</c:v>
              </c:pt>
              <c:pt idx="11">
                <c:v>9229</c:v>
              </c:pt>
            </c:numLit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v>2018</c:v>
          </c:tx>
          <c:marker>
            <c:symbol val="x"/>
            <c:size val="3"/>
            <c:spPr>
              <a:solidFill>
                <a:srgbClr val="000000"/>
              </a:solidFill>
              <a:ln>
                <a:solidFill>
                  <a:srgbClr val="000000"/>
                </a:solidFill>
              </a:ln>
            </c:spPr>
          </c:marker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cat>
            <c:strLit>
              <c:ptCount val="12"/>
              <c:pt idx="0">
                <c:v>Januar</c:v>
              </c:pt>
              <c:pt idx="1">
                <c:v>Februar</c:v>
              </c:pt>
              <c:pt idx="2">
                <c:v>März</c:v>
              </c:pt>
              <c:pt idx="3">
                <c:v>April</c:v>
              </c:pt>
              <c:pt idx="4">
                <c:v>Mai</c:v>
              </c:pt>
              <c:pt idx="5">
                <c:v>Juni</c:v>
              </c:pt>
              <c:pt idx="6">
                <c:v>Juli</c:v>
              </c:pt>
              <c:pt idx="7">
                <c:v>August</c:v>
              </c:pt>
              <c:pt idx="8">
                <c:v>September</c:v>
              </c:pt>
              <c:pt idx="9">
                <c:v>Oktober</c:v>
              </c:pt>
              <c:pt idx="10">
                <c:v>November</c:v>
              </c:pt>
              <c:pt idx="11">
                <c:v>Dezember</c:v>
              </c:pt>
            </c:strLit>
          </c:cat>
          <c:val>
            <c:numLit>
              <c:formatCode>General</c:formatCode>
              <c:ptCount val="12"/>
              <c:pt idx="0">
                <c:v>9203</c:v>
              </c:pt>
              <c:pt idx="1">
                <c:v>8268</c:v>
              </c:pt>
              <c:pt idx="2">
                <c:v>9501</c:v>
              </c:pt>
              <c:pt idx="3">
                <c:v>9511</c:v>
              </c:pt>
              <c:pt idx="4">
                <c:v>9773</c:v>
              </c:pt>
              <c:pt idx="5">
                <c:v>10211</c:v>
              </c:pt>
              <c:pt idx="6">
                <c:v>8456</c:v>
              </c:pt>
              <c:pt idx="7">
                <c:v>9496</c:v>
              </c:pt>
              <c:pt idx="8">
                <c:v>9353</c:v>
              </c:pt>
              <c:pt idx="9">
                <c:v>10674</c:v>
              </c:pt>
              <c:pt idx="10">
                <c:v>8149</c:v>
              </c:pt>
              <c:pt idx="11">
                <c:v>9515</c:v>
              </c:pt>
            </c:numLit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v>2019</c:v>
          </c:tx>
          <c:marker>
            <c:symbol val="star"/>
            <c:size val="3"/>
            <c:spPr>
              <a:solidFill>
                <a:srgbClr val="000000"/>
              </a:solidFill>
              <a:ln>
                <a:solidFill>
                  <a:srgbClr val="000000"/>
                </a:solidFill>
              </a:ln>
            </c:spPr>
          </c:marker>
          <c:val>
            <c:numLit>
              <c:formatCode>General</c:formatCode>
              <c:ptCount val="12"/>
              <c:pt idx="0">
                <c:v>9447</c:v>
              </c:pt>
              <c:pt idx="1">
                <c:v>8545</c:v>
              </c:pt>
              <c:pt idx="2">
                <c:v>9632</c:v>
              </c:pt>
              <c:pt idx="3">
                <c:v>9136</c:v>
              </c:pt>
              <c:pt idx="4">
                <c:v>9409</c:v>
              </c:pt>
              <c:pt idx="5">
                <c:v>9472</c:v>
              </c:pt>
              <c:pt idx="6">
                <c:v>9901</c:v>
              </c:pt>
              <c:pt idx="7">
                <c:v>10156</c:v>
              </c:pt>
              <c:pt idx="8">
                <c:v>9930</c:v>
              </c:pt>
              <c:pt idx="9">
                <c:v>10214</c:v>
              </c:pt>
              <c:pt idx="10">
                <c:v>9859</c:v>
              </c:pt>
              <c:pt idx="11">
                <c:v>9320</c:v>
              </c:pt>
            </c:numLit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marker val="1"/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1860000"/>
          <a:lstStyle/>
          <a:p>
            <a:pPr>
              <a:defRPr/>
            </a:pPr>
          </a:p>
        </c:txPr>
        <c:crossAx val="11"/>
        <c:crosses val="autoZero"/>
        <c:auto val="1"/>
        <c:lblAlgn val="l"/>
      </c:catAx>
      <c:valAx>
        <c:axId val="11"/>
        <c:scaling>
          <c:orientation val="minMax"/>
          <c:min val="7000.000000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0"/>
        <c:crosses val="autoZero"/>
        <c:crossBetween val="between"/>
      </c:valAx>
    </c:plotArea>
    <c:legend>
      <c:legendPos val="r"/>
      <c:layout/>
      <c:overlay val="0"/>
      <c:spPr>
        <a:ln w="9525">
          <a:noFill/>
        </a:ln>
      </c:spPr>
      <c:txPr>
        <a:bodyPr/>
        <a:lstStyle/>
        <a:p>
          <a:pPr>
            <a:defRPr/>
          </a:pPr>
        </a:p>
      </c:txPr>
    </c:legend>
    <c:plotVisOnly val="1"/>
    <c:dispBlanksAs val="gap"/>
  </c:chart>
  <c:spPr/>
  <c:txPr>
    <a:bodyPr anchor="t" rot="0"/>
    <a:lstStyle/>
    <a:p>
      <a:pPr>
        <a:defRPr lang="de-de" sz="1000" b="0" i="0" u="none" strike="noStrike" kern="100">
          <a:solidFill>
            <a:srgbClr val="000000"/>
          </a:solidFill>
          <a:latin typeface="Calibri" charset="0"/>
        </a:defRPr>
      </a:pPr>
    </a:p>
  </c:txPr>
  <c:extLst>
    <c:ext xmlns:sm="smo" uri="smo">
      <sm:colorScheme xmlns:sm="smo" id="1598996201" val="15"/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anchor="ctr" anchorCtr="1"/>
          <a:lstStyle/>
          <a:p>
            <a:pPr>
              <a:defRPr lang="de-de" sz="1400" b="1" i="0" u="none" strike="noStrike" kern="100">
                <a:solidFill>
                  <a:srgbClr val="000000"/>
                </a:solidFill>
                <a:latin typeface="Calibri" charset="0"/>
              </a:defRPr>
            </a:pPr>
            <a:r>
              <a:t>Stromverbrauch</a:t>
            </a:r>
          </a:p>
        </c:rich>
      </c:tx>
      <c:layout>
        <c:manualLayout>
          <c:xMode val="edge"/>
          <c:yMode val="edge"/>
          <c:wMode val="factor"/>
          <c:hMode val="factor"/>
          <c:x val="0.307250"/>
          <c:y val="0.000000"/>
          <c:w val="0.287500"/>
          <c:h val="0.093750"/>
        </c:manualLayout>
      </c:layout>
      <c:overlay val="0"/>
      <c:spPr>
        <a:noFill/>
        <a:ln w="9525">
          <a:noFill/>
        </a:ln>
      </c:spPr>
    </c:title>
    <c:plotArea>
      <c:layout>
        <c:manualLayout>
          <c:xMode val="edge"/>
          <c:yMode val="edge"/>
          <c:wMode val="factor"/>
          <c:hMode val="factor"/>
          <c:x val="0.128000"/>
          <c:y val="0.091500"/>
          <c:w val="0.721000"/>
          <c:h val="0.799500"/>
        </c:manualLayout>
      </c:layout>
      <c:barChart>
        <c:barDir val="col"/>
        <c:grouping val="clustered"/>
        <c:ser>
          <c:idx val="0"/>
          <c:order val="0"/>
          <c:tx>
            <c:v>2015</c:v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'Monatskosten SWÖ'!$C$39</c:f>
              <c:numCache>
                <c:formatCode>#,##0.0</c:formatCode>
                <c:ptCount val="1"/>
                <c:pt idx="0">
                  <c:v>1982.900000</c:v>
                </c:pt>
              </c:numCache>
            </c:numRef>
          </c:val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v>2016</c:v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'Monatskosten SWÖ'!$K$39</c:f>
              <c:numCache>
                <c:formatCode>#,##0.0</c:formatCode>
                <c:ptCount val="1"/>
                <c:pt idx="0">
                  <c:v>1925</c:v>
                </c:pt>
              </c:numCache>
            </c:numRef>
          </c:val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v>2017</c:v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'Monatskosten SWÖ'!$S$39</c:f>
              <c:numCache>
                <c:formatCode>#,##0.0</c:formatCode>
                <c:ptCount val="1"/>
                <c:pt idx="0">
                  <c:v>1815</c:v>
                </c:pt>
              </c:numCache>
            </c:numRef>
          </c:val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v>2018</c:v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'Monatskosten SWÖ'!$AA$39</c:f>
              <c:numCache>
                <c:formatCode>#,##0.0</c:formatCode>
                <c:ptCount val="1"/>
                <c:pt idx="0">
                  <c:v>1802.200000</c:v>
                </c:pt>
              </c:numCache>
            </c:numRef>
          </c:val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v>2019</c:v>
          </c:tx>
          <c:val>
            <c:numRef>
              <c:f>'Monatskosten SWÖ'!$AA$39</c:f>
              <c:numCache>
                <c:formatCode>#,##0.0</c:formatCode>
                <c:ptCount val="1"/>
                <c:pt idx="0">
                  <c:v>1802.200000</c:v>
                </c:pt>
              </c:numCache>
            </c:numRef>
          </c:val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10"/>
        <c:axId val="11"/>
      </c:barChart>
      <c:catAx>
        <c:axId val="1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one"/>
        <c:crossAx val="11"/>
        <c:crosses val="autoZero"/>
        <c:auto val="1"/>
        <c:lblAlgn val="l"/>
      </c:catAx>
      <c:valAx>
        <c:axId val="11"/>
        <c:scaling>
          <c:orientation val="minMax"/>
          <c:max val="2000.000000"/>
          <c:min val="0.00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crossAx val="1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factor"/>
          <c:hMode val="factor"/>
          <c:x val="0.203500"/>
          <c:y val="0.868500"/>
          <c:w val="0.569500"/>
          <c:h val="0.131250"/>
        </c:manualLayout>
      </c:layout>
      <c:overlay val="0"/>
      <c:spPr>
        <a:ln w="9525">
          <a:noFill/>
        </a:ln>
      </c:spPr>
      <c:txPr>
        <a:bodyPr numCol="5"/>
        <a:lstStyle/>
        <a:p>
          <a:pPr>
            <a:defRPr/>
          </a:pPr>
        </a:p>
      </c:txPr>
    </c:legend>
    <c:plotVisOnly val="1"/>
    <c:dispBlanksAs val="gap"/>
  </c:chart>
  <c:spPr/>
  <c:txPr>
    <a:bodyPr anchor="t" rot="0"/>
    <a:lstStyle/>
    <a:p>
      <a:pPr>
        <a:defRPr lang="de-de" sz="1000" b="0" i="0" u="none" strike="noStrike" kern="100">
          <a:solidFill>
            <a:srgbClr val="000000"/>
          </a:solidFill>
          <a:latin typeface="Calibri" charset="0"/>
        </a:defRPr>
      </a:pPr>
    </a:p>
  </c:txPr>
  <c:extLst>
    <c:ext xmlns:sm="smo" uri="smo">
      <sm:colorScheme xmlns:sm="smo" id="1598996201" val="15"/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anchor="ctr" anchorCtr="1"/>
          <a:lstStyle/>
          <a:p>
            <a:pPr>
              <a:defRPr lang="de-de" sz="1400" b="1" i="0" u="none" strike="noStrike" kern="100">
                <a:solidFill>
                  <a:srgbClr val="000000"/>
                </a:solidFill>
                <a:latin typeface="Calibri" charset="0"/>
              </a:defRPr>
            </a:pPr>
            <a:r>
              <a:t>Wasserverbrauch</a:t>
            </a:r>
          </a:p>
        </c:rich>
      </c:tx>
      <c:layout>
        <c:manualLayout>
          <c:xMode val="edge"/>
          <c:yMode val="edge"/>
          <c:wMode val="factor"/>
          <c:hMode val="factor"/>
          <c:x val="0.351500"/>
          <c:y val="0.000000"/>
          <c:w val="0.306500"/>
          <c:h val="0.094000"/>
        </c:manualLayout>
      </c:layout>
      <c:overlay val="0"/>
      <c:spPr>
        <a:noFill/>
        <a:ln w="9525">
          <a:noFill/>
        </a:ln>
      </c:spPr>
    </c:title>
    <c:plotArea>
      <c:layout>
        <c:manualLayout>
          <c:xMode val="edge"/>
          <c:yMode val="edge"/>
          <c:wMode val="factor"/>
          <c:hMode val="factor"/>
          <c:x val="0.135250"/>
          <c:y val="0.082500"/>
          <c:w val="0.713750"/>
          <c:h val="0.817250"/>
        </c:manualLayout>
      </c:layout>
      <c:barChart>
        <c:barDir val="col"/>
        <c:grouping val="clustered"/>
        <c:ser>
          <c:idx val="0"/>
          <c:order val="0"/>
          <c:tx>
            <c:v>2015</c:v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'Monatskosten SWÖ'!$C$40</c:f>
              <c:numCache>
                <c:formatCode>#,##0</c:formatCode>
                <c:ptCount val="1"/>
                <c:pt idx="0">
                  <c:v>99060</c:v>
                </c:pt>
              </c:numCache>
            </c:numRef>
          </c:val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v>2016</c:v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'Monatskosten SWÖ'!$K$40</c:f>
              <c:numCache>
                <c:formatCode>#,##0</c:formatCode>
                <c:ptCount val="1"/>
                <c:pt idx="0">
                  <c:v>105119</c:v>
                </c:pt>
              </c:numCache>
            </c:numRef>
          </c:val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v>2017</c:v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'Monatskosten SWÖ'!$S$40</c:f>
              <c:numCache>
                <c:formatCode>#,##0</c:formatCode>
                <c:ptCount val="1"/>
                <c:pt idx="0">
                  <c:v>107598</c:v>
                </c:pt>
              </c:numCache>
            </c:numRef>
          </c:val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v>2018</c:v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'Monatskosten SWÖ'!$AA$40</c:f>
              <c:numCache>
                <c:formatCode>#,##0</c:formatCode>
                <c:ptCount val="1"/>
                <c:pt idx="0">
                  <c:v>112110</c:v>
                </c:pt>
              </c:numCache>
            </c:numRef>
          </c:val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v>2019</c:v>
          </c:tx>
          <c:val>
            <c:numRef>
              <c:f>'Monatskosten SWÖ'!$AI$40</c:f>
              <c:numCache>
                <c:formatCode>#,##0</c:formatCode>
                <c:ptCount val="1"/>
                <c:pt idx="0">
                  <c:v>115021</c:v>
                </c:pt>
              </c:numCache>
            </c:numRef>
          </c:val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10"/>
        <c:axId val="11"/>
      </c:barChart>
      <c:catAx>
        <c:axId val="1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one"/>
        <c:crossAx val="11"/>
        <c:crosses val="autoZero"/>
        <c:auto val="1"/>
        <c:lblAlgn val="l"/>
      </c:catAx>
      <c:valAx>
        <c:axId val="11"/>
        <c:scaling>
          <c:orientation val="minMax"/>
          <c:max val="150000.000000"/>
          <c:min val="0.000000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factor"/>
          <c:hMode val="factor"/>
          <c:x val="0.206750"/>
          <c:y val="0.902000"/>
          <c:w val="0.560750"/>
          <c:h val="0.097750"/>
        </c:manualLayout>
      </c:layout>
      <c:overlay val="0"/>
      <c:spPr>
        <a:ln w="9525">
          <a:noFill/>
        </a:ln>
      </c:spPr>
      <c:txPr>
        <a:bodyPr numCol="5"/>
        <a:lstStyle/>
        <a:p>
          <a:pPr>
            <a:defRPr/>
          </a:pPr>
        </a:p>
      </c:txPr>
    </c:legend>
    <c:plotVisOnly val="1"/>
    <c:dispBlanksAs val="gap"/>
  </c:chart>
  <c:spPr/>
  <c:txPr>
    <a:bodyPr anchor="t" rot="0"/>
    <a:lstStyle/>
    <a:p>
      <a:pPr>
        <a:defRPr lang="de-de" sz="1000" b="0" i="0" u="none" strike="noStrike" kern="100">
          <a:solidFill>
            <a:srgbClr val="000000"/>
          </a:solidFill>
          <a:latin typeface="Calibri" charset="0"/>
        </a:defRPr>
      </a:pPr>
    </a:p>
  </c:txPr>
  <c:extLst>
    <c:ext xmlns:sm="smo" uri="smo">
      <sm:colorScheme xmlns:sm="smo" id="1598996201" val="15"/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anchor="ctr" anchorCtr="1"/>
          <a:lstStyle/>
          <a:p>
            <a:pPr>
              <a:defRPr lang="de-de" sz="1400" b="1" i="0" u="none" strike="noStrike" kern="100">
                <a:solidFill>
                  <a:srgbClr val="000000"/>
                </a:solidFill>
                <a:latin typeface="Calibri" charset="0"/>
              </a:defRPr>
            </a:pPr>
            <a:r>
              <a:t>Heizölverbrauch</a:t>
            </a:r>
          </a:p>
        </c:rich>
      </c:tx>
      <c:layout>
        <c:manualLayout>
          <c:xMode val="edge"/>
          <c:yMode val="edge"/>
          <c:wMode val="factor"/>
          <c:hMode val="factor"/>
          <c:x val="0.360750"/>
          <c:y val="0.004500"/>
          <c:w val="0.289250"/>
          <c:h val="0.100250"/>
        </c:manualLayout>
      </c:layout>
      <c:overlay val="0"/>
      <c:spPr>
        <a:noFill/>
        <a:ln w="9525">
          <a:noFill/>
        </a:ln>
      </c:spPr>
    </c:title>
    <c:plotArea>
      <c:layout>
        <c:manualLayout>
          <c:xMode val="edge"/>
          <c:yMode val="edge"/>
          <c:wMode val="factor"/>
          <c:hMode val="factor"/>
          <c:x val="0.135250"/>
          <c:y val="0.073750"/>
          <c:w val="0.714000"/>
          <c:h val="0.838500"/>
        </c:manualLayout>
      </c:layout>
      <c:barChart>
        <c:barDir val="col"/>
        <c:grouping val="clustered"/>
        <c:ser>
          <c:idx val="0"/>
          <c:order val="0"/>
          <c:tx>
            <c:v>2015</c:v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'Monatskosten SWÖ'!$C$41</c:f>
              <c:numCache>
                <c:formatCode>0.00</c:formatCode>
                <c:ptCount val="1"/>
                <c:pt idx="0">
                  <c:v>1988.090000</c:v>
                </c:pt>
              </c:numCache>
            </c:numRef>
          </c:val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1"/>
          <c:order val="1"/>
          <c:tx>
            <c:v>2016</c:v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'Monatskosten SWÖ'!$K$41</c:f>
              <c:numCache>
                <c:formatCode>0.00</c:formatCode>
                <c:ptCount val="1"/>
                <c:pt idx="0">
                  <c:v>2070.990000</c:v>
                </c:pt>
              </c:numCache>
            </c:numRef>
          </c:val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2"/>
          <c:order val="2"/>
          <c:tx>
            <c:v>2017</c:v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'Monatskosten SWÖ'!$S$41</c:f>
              <c:numCache>
                <c:formatCode>0.00</c:formatCode>
                <c:ptCount val="1"/>
                <c:pt idx="0">
                  <c:v>2062.850000</c:v>
                </c:pt>
              </c:numCache>
            </c:numRef>
          </c:val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3"/>
          <c:order val="3"/>
          <c:tx>
            <c:v>2018</c:v>
          </c:tx>
          <c:dLbls>
            <c:numFmt formatCode="General" sourceLinked="1"/>
            <c:spPr>
              <a:noFill/>
              <a:ln w="9525"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'Monatskosten SWÖ'!$AA$41</c:f>
              <c:numCache>
                <c:formatCode>0.00</c:formatCode>
                <c:ptCount val="1"/>
                <c:pt idx="0">
                  <c:v>2063.330000</c:v>
                </c:pt>
              </c:numCache>
            </c:numRef>
          </c:val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ser>
          <c:idx val="4"/>
          <c:order val="4"/>
          <c:tx>
            <c:v>2019</c:v>
          </c:tx>
          <c:val>
            <c:numRef>
              <c:f>'Monatskosten SWÖ'!$AI$41</c:f>
              <c:numCache>
                <c:formatCode>0.00</c:formatCode>
                <c:ptCount val="1"/>
                <c:pt idx="0">
                  <c:v>2016.460000</c:v>
                </c:pt>
              </c:numCache>
            </c:numRef>
          </c:val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10"/>
        <c:axId val="11"/>
      </c:barChart>
      <c:catAx>
        <c:axId val="1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11"/>
        <c:crosses val="autoZero"/>
        <c:auto val="1"/>
        <c:lblAlgn val="l"/>
      </c:catAx>
      <c:valAx>
        <c:axId val="11"/>
        <c:scaling>
          <c:orientation val="minMax"/>
          <c:max val="2200.000000"/>
          <c:min val="0.000000"/>
        </c:scaling>
        <c:delete val="0"/>
        <c:axPos val="l"/>
        <c:majorGridlines/>
        <c:numFmt formatCode="0" sourceLinked="0"/>
        <c:majorTickMark val="out"/>
        <c:minorTickMark val="none"/>
        <c:tickLblPos val="nextTo"/>
        <c:crossAx val="1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factor"/>
          <c:hMode val="factor"/>
          <c:x val="0.210250"/>
          <c:y val="0.907000"/>
          <c:w val="0.570750"/>
          <c:h val="0.092750"/>
        </c:manualLayout>
      </c:layout>
      <c:overlay val="0"/>
      <c:spPr>
        <a:ln w="9525">
          <a:noFill/>
        </a:ln>
      </c:spPr>
      <c:txPr>
        <a:bodyPr numCol="5"/>
        <a:lstStyle/>
        <a:p>
          <a:pPr>
            <a:defRPr/>
          </a:pPr>
        </a:p>
      </c:txPr>
    </c:legend>
    <c:plotVisOnly val="1"/>
    <c:dispBlanksAs val="gap"/>
  </c:chart>
  <c:spPr/>
  <c:txPr>
    <a:bodyPr anchor="t" rot="0"/>
    <a:lstStyle/>
    <a:p>
      <a:pPr>
        <a:defRPr lang="de-de" sz="1000" b="0" i="0" u="none" strike="noStrike" kern="100">
          <a:solidFill>
            <a:srgbClr val="000000"/>
          </a:solidFill>
          <a:latin typeface="Calibri" charset="0"/>
        </a:defRPr>
      </a:pPr>
    </a:p>
  </c:txPr>
  <c:extLst>
    <c:ext xmlns:sm="smo" uri="smo">
      <sm:colorScheme xmlns:sm="smo" id="1598996201" val="15"/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anchor="ctr" anchorCtr="1"/>
          <a:lstStyle/>
          <a:p>
            <a:pPr>
              <a:defRPr lang="de-de" sz="1600" b="1" i="0" u="none" strike="noStrike" kern="100">
                <a:solidFill>
                  <a:srgbClr val="000000"/>
                </a:solidFill>
                <a:latin typeface="Calibri" charset="0"/>
              </a:defRPr>
            </a:pPr>
            <a:r>
              <a:t>Stromkosten</a:t>
            </a:r>
          </a:p>
        </c:rich>
      </c:tx>
      <c:layout/>
      <c:overlay val="0"/>
    </c:title>
    <c:plotArea>
      <c:layout/>
      <c:lineChart>
        <c:grouping val="standard"/>
        <c:ser>
          <c:idx val="0"/>
          <c:order val="0"/>
          <c:tx>
            <c:v>Stromkosten</c:v>
          </c:tx>
          <c:marker>
            <c:symbol val="square"/>
            <c:size val="3"/>
            <c:spPr>
              <a:solidFill>
                <a:srgbClr val="000000"/>
              </a:solidFill>
              <a:ln>
                <a:solidFill>
                  <a:srgbClr val="000000"/>
                </a:solidFill>
              </a:ln>
            </c:spPr>
          </c:marker>
          <c:cat>
            <c:numLit>
              <c:formatCode>General</c:formatCode>
              <c:ptCount val="5"/>
              <c:pt idx="0">
                <c:v>2015</c:v>
              </c:pt>
              <c:pt idx="1">
                <c:v>2016</c:v>
              </c:pt>
              <c:pt idx="2">
                <c:v>2017</c:v>
              </c:pt>
              <c:pt idx="3">
                <c:v>2018</c:v>
              </c:pt>
              <c:pt idx="4">
                <c:v>2019</c:v>
              </c:pt>
            </c:numLit>
          </c:cat>
          <c:val>
            <c:numLit>
              <c:formatCode>General</c:formatCode>
              <c:ptCount val="5"/>
              <c:pt idx="0">
                <c:v>608.124860</c:v>
              </c:pt>
              <c:pt idx="1">
                <c:v>632.175000</c:v>
              </c:pt>
              <c:pt idx="2">
                <c:v>618.315000</c:v>
              </c:pt>
              <c:pt idx="3">
                <c:v>614.462200</c:v>
              </c:pt>
              <c:pt idx="4">
                <c:v>666.639200</c:v>
              </c:pt>
            </c:numLit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marker val="1"/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"/>
        <c:crosses val="autoZero"/>
        <c:auto val="1"/>
        <c:lblAlgn val="l"/>
      </c:catAx>
      <c:valAx>
        <c:axId val="11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10"/>
        <c:crosses val="autoZero"/>
        <c:crossBetween val="between"/>
      </c:valAx>
    </c:plotArea>
    <c:plotVisOnly val="1"/>
    <c:dispBlanksAs val="gap"/>
  </c:chart>
  <c:spPr/>
  <c:txPr>
    <a:bodyPr anchor="t" rot="0"/>
    <a:lstStyle/>
    <a:p>
      <a:pPr>
        <a:defRPr lang="de-de" sz="1000" b="0" i="0" u="none" strike="noStrike" kern="100">
          <a:solidFill>
            <a:srgbClr val="000000"/>
          </a:solidFill>
          <a:latin typeface="Calibri" charset="0"/>
        </a:defRPr>
      </a:pPr>
    </a:p>
  </c:txPr>
  <c:extLst>
    <c:ext xmlns:sm="smo" uri="smo">
      <sm:colorScheme xmlns:sm="smo" id="1598996201" val="15"/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anchor="ctr" anchorCtr="1"/>
          <a:lstStyle/>
          <a:p>
            <a:pPr>
              <a:defRPr lang="de-de" sz="1800" b="1" i="0" u="none" strike="noStrike" kern="100">
                <a:solidFill>
                  <a:srgbClr val="000000"/>
                </a:solidFill>
                <a:latin typeface="Calibri" charset="0"/>
              </a:defRPr>
            </a:pPr>
            <a:r>
              <a:t>Wasserkosten</a:t>
            </a:r>
          </a:p>
        </c:rich>
      </c:tx>
      <c:layout/>
      <c:overlay val="0"/>
    </c:title>
    <c:plotArea>
      <c:layout/>
      <c:lineChart>
        <c:grouping val="standard"/>
        <c:ser>
          <c:idx val="0"/>
          <c:order val="0"/>
          <c:tx>
            <c:v>Wasserkosten</c:v>
          </c:tx>
          <c:marker>
            <c:symbol val="square"/>
            <c:size val="3"/>
            <c:spPr>
              <a:solidFill>
                <a:srgbClr val="000000"/>
              </a:solidFill>
              <a:ln>
                <a:solidFill>
                  <a:srgbClr val="000000"/>
                </a:solidFill>
              </a:ln>
            </c:spPr>
          </c:marker>
          <c:cat>
            <c:numLit>
              <c:formatCode>General</c:formatCode>
              <c:ptCount val="5"/>
              <c:pt idx="0">
                <c:v>2015</c:v>
              </c:pt>
              <c:pt idx="1">
                <c:v>2016</c:v>
              </c:pt>
              <c:pt idx="2">
                <c:v>2017</c:v>
              </c:pt>
              <c:pt idx="3">
                <c:v>2018</c:v>
              </c:pt>
              <c:pt idx="4">
                <c:v>2019</c:v>
              </c:pt>
            </c:numLit>
          </c:cat>
          <c:val>
            <c:numLit>
              <c:formatCode>General</c:formatCode>
              <c:ptCount val="5"/>
              <c:pt idx="0">
                <c:v>157.233504</c:v>
              </c:pt>
              <c:pt idx="1">
                <c:v>164.494610</c:v>
              </c:pt>
              <c:pt idx="2">
                <c:v>165.162846</c:v>
              </c:pt>
              <c:pt idx="3">
                <c:v>170.473470</c:v>
              </c:pt>
              <c:pt idx="4">
                <c:v>173.899717</c:v>
              </c:pt>
            </c:numLit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marker val="1"/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"/>
        <c:crosses val="autoZero"/>
        <c:auto val="1"/>
        <c:lblAlgn val="l"/>
      </c:catAx>
      <c:valAx>
        <c:axId val="11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10"/>
        <c:crosses val="autoZero"/>
        <c:crossBetween val="between"/>
      </c:valAx>
    </c:plotArea>
    <c:plotVisOnly val="1"/>
    <c:dispBlanksAs val="gap"/>
  </c:chart>
  <c:spPr/>
  <c:txPr>
    <a:bodyPr anchor="t" rot="0"/>
    <a:lstStyle/>
    <a:p>
      <a:pPr>
        <a:defRPr lang="de-de" sz="1000" b="0" i="0" u="none" strike="noStrike" kern="100">
          <a:solidFill>
            <a:srgbClr val="000000"/>
          </a:solidFill>
          <a:latin typeface="Calibri" charset="0"/>
        </a:defRPr>
      </a:pPr>
    </a:p>
  </c:txPr>
  <c:extLst>
    <c:ext xmlns:sm="smo" uri="smo">
      <sm:colorScheme xmlns:sm="smo" id="1598996201" val="15"/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title>
      <c:tx>
        <c:rich>
          <a:bodyPr anchor="ctr" anchorCtr="1"/>
          <a:lstStyle/>
          <a:p>
            <a:pPr>
              <a:defRPr lang="de-de" sz="1600" b="1" i="0" u="none" strike="noStrike" kern="100">
                <a:solidFill>
                  <a:srgbClr val="000000"/>
                </a:solidFill>
                <a:latin typeface="Calibri" charset="0"/>
              </a:defRPr>
            </a:pPr>
            <a:r>
              <a:t>Heizkosten</a:t>
            </a:r>
          </a:p>
        </c:rich>
      </c:tx>
      <c:layout/>
      <c:overlay val="0"/>
    </c:title>
    <c:plotArea>
      <c:layout/>
      <c:lineChart>
        <c:grouping val="standard"/>
        <c:ser>
          <c:idx val="0"/>
          <c:order val="0"/>
          <c:tx>
            <c:v>Heizkosten</c:v>
          </c:tx>
          <c:marker>
            <c:symbol val="square"/>
            <c:size val="3"/>
            <c:spPr>
              <a:solidFill>
                <a:srgbClr val="000000"/>
              </a:solidFill>
              <a:ln>
                <a:solidFill>
                  <a:srgbClr val="000000"/>
                </a:solidFill>
              </a:ln>
            </c:spPr>
          </c:marker>
          <c:cat>
            <c:numLit>
              <c:formatCode>General</c:formatCode>
              <c:ptCount val="5"/>
              <c:pt idx="0">
                <c:v>2015</c:v>
              </c:pt>
              <c:pt idx="1">
                <c:v>2016</c:v>
              </c:pt>
              <c:pt idx="2">
                <c:v>2017</c:v>
              </c:pt>
              <c:pt idx="3">
                <c:v>2018</c:v>
              </c:pt>
              <c:pt idx="4">
                <c:v>2019</c:v>
              </c:pt>
            </c:numLit>
          </c:cat>
          <c:val>
            <c:numLit>
              <c:formatCode>General</c:formatCode>
              <c:ptCount val="5"/>
              <c:pt idx="0">
                <c:v>1101.600669</c:v>
              </c:pt>
              <c:pt idx="1">
                <c:v>1060.029007</c:v>
              </c:pt>
              <c:pt idx="2">
                <c:v>923.537945</c:v>
              </c:pt>
              <c:pt idx="3">
                <c:v>1223.761023</c:v>
              </c:pt>
              <c:pt idx="4">
                <c:v>1266.189200</c:v>
              </c:pt>
            </c:numLit>
          </c:val>
          <c:smooth val="0"/>
          <c:extLst>
            <c:ext xmlns:sm="smo" uri="smo">
              <sm:meanLine>
                <c:spPr>
                  <a:ln w="9525">
                    <a:noFill/>
                  </a:ln>
                </c:spPr>
              </sm:meanLine>
              <sm:minMaxLine>
                <c:spPr>
                  <a:ln w="9525">
                    <a:noFill/>
                  </a:ln>
                </c:spPr>
              </sm:minMaxLine>
              <sm:stDevLine>
                <c:spPr>
                  <a:ln w="9525">
                    <a:noFill/>
                  </a:ln>
                </c:spPr>
              </sm:stDevLine>
              <sm:trendLine>
                <c:spPr>
                  <a:ln w="9525"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marker val="1"/>
        <c:extLst>
          <c:ext xmlns:sm="smo" uri="smo">
            <sm:boxPlot xmlns:sm="smo" val="0"/>
            <sm:turned xmlns:sm="smo" val="0"/>
          </c:ext>
        </c:extLst>
        <c:axId val="10"/>
        <c:axId val="11"/>
      </c:lineChart>
      <c:catAx>
        <c:axId val="1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1"/>
        <c:crosses val="autoZero"/>
        <c:auto val="1"/>
        <c:lblAlgn val="l"/>
      </c:catAx>
      <c:valAx>
        <c:axId val="11"/>
        <c:scaling>
          <c:orientation val="minMax"/>
          <c:max val="1600.000000"/>
          <c:min val="800.000000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10"/>
        <c:crosses val="autoZero"/>
        <c:crossBetween val="between"/>
      </c:valAx>
    </c:plotArea>
    <c:plotVisOnly val="1"/>
    <c:dispBlanksAs val="gap"/>
  </c:chart>
  <c:spPr/>
  <c:txPr>
    <a:bodyPr anchor="t" rot="0"/>
    <a:lstStyle/>
    <a:p>
      <a:pPr>
        <a:defRPr lang="de-de" sz="1000" b="0" i="0" u="none" strike="noStrike" kern="100">
          <a:solidFill>
            <a:srgbClr val="000000"/>
          </a:solidFill>
          <a:latin typeface="Calibri" charset="0"/>
        </a:defRPr>
      </a:pPr>
    </a:p>
  </c:txPr>
  <c:extLst>
    <c:ext xmlns:sm="smo" uri="smo">
      <sm:colorScheme xmlns:sm="smo" id="1598996201" val="15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 ?>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 ?>
<Relationships xmlns="http://schemas.openxmlformats.org/package/2006/relationships"><Relationship Id="rId1" Type="http://schemas.openxmlformats.org/officeDocument/2006/relationships/chart" Target="../charts/chart3.xml"/><Relationship Id="rId2" Type="http://schemas.openxmlformats.org/officeDocument/2006/relationships/chart" Target="../charts/chart4.xml"/></Relationships>
</file>

<file path=xl/drawings/_rels/drawing4.xml.rels><?xml version="1.0" encoding="UTF-8" standalone="yes" ?>
<Relationships xmlns="http://schemas.openxmlformats.org/package/2006/relationships"><Relationship Id="rId1" Type="http://schemas.openxmlformats.org/officeDocument/2006/relationships/chart" Target="../charts/chart5.xml"/><Relationship Id="rId2" Type="http://schemas.openxmlformats.org/officeDocument/2006/relationships/chart" Target="../charts/chart6.xml"/><Relationship Id="rId3" Type="http://schemas.openxmlformats.org/officeDocument/2006/relationships/chart" Target="../charts/chart7.xml"/><Relationship Id="rId4" Type="http://schemas.openxmlformats.org/officeDocument/2006/relationships/chart" Target="../charts/chart8.xml"/><Relationship Id="rId5" Type="http://schemas.openxmlformats.org/officeDocument/2006/relationships/chart" Target="../charts/chart9.xml"/><Relationship Id="rId6" Type="http://schemas.openxmlformats.org/officeDocument/2006/relationships/chart" Target="../charts/chart10.xml"/><Relationship Id="rId7" Type="http://schemas.openxmlformats.org/officeDocument/2006/relationships/chart" Target="../charts/chart11.xml"/><Relationship Id="rId8" Type="http://schemas.openxmlformats.org/officeDocument/2006/relationships/chart" Target="../charts/chart12.xml"/><Relationship Id="rId9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0</xdr:row>
      <xdr:rowOff>19050</xdr:rowOff>
    </xdr:from>
    <xdr:to>
      <xdr:col>14</xdr:col>
      <xdr:colOff>28575</xdr:colOff>
      <xdr:row>21</xdr:row>
      <xdr:rowOff>142875</xdr:rowOff>
    </xdr:to>
    <xdr:graphicFrame macro="">
      <xdr:nvGraphicFramePr>
        <xdr:cNvPr id="2" name="Diagramm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1</xdr:row>
      <xdr:rowOff>19050</xdr:rowOff>
    </xdr:from>
    <xdr:to>
      <xdr:col>12</xdr:col>
      <xdr:colOff>600075</xdr:colOff>
      <xdr:row>24</xdr:row>
      <xdr:rowOff>19050</xdr:rowOff>
    </xdr:to>
    <xdr:graphicFrame macro="">
      <xdr:nvGraphicFramePr>
        <xdr:cNvPr id="4" name="Diagramm 103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390525</xdr:colOff>
      <xdr:row>15</xdr:row>
      <xdr:rowOff>123825</xdr:rowOff>
    </xdr:from>
    <xdr:to>
      <xdr:col>8</xdr:col>
      <xdr:colOff>361950</xdr:colOff>
      <xdr:row>16</xdr:row>
      <xdr:rowOff>152400</xdr:rowOff>
    </xdr:to>
    <xdr:sp macro="" fLocksText="0">
      <xdr:nvSpPr>
        <xdr:cNvPr id="3" name="Text Box 1034"/>
        <xdr:cNvSpPr>
          <a:extLst>
            <a:ext uri="smNativeData">
              <pm:smNativeData xmlns:pm="smNativeData" val="SMDATA_15_6b5OXxMAAAAlAAAAZAAAAI0AAAAAKwAAACQAAAAAAAAAA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8AAAAFAAAA1gINAhAAAAAIAAAAfgPmAXMWAAD8EgAA4w0AAEABAAAAAAAAMAAAABQAAAAAAAAAAAD//wAAAQAAAP//AAABAA=="/>
            </a:ext>
          </a:extLst>
        </xdr:cNvSpPr>
      </xdr:nvSpPr>
      <xdr:spPr>
        <a:xfrm>
          <a:off x="3649345" y="3086100"/>
          <a:ext cx="2257425" cy="20320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lIns="27305" tIns="22860" rIns="0" bIns="0" anchor="t" upright="1"/>
        <a:lstStyle/>
        <a:p>
          <a:pPr algn="l" defTabSz="360045" rtl="0">
            <a:defRPr sz="1000"/>
          </a:pPr>
          <a:r>
            <a:rPr lang="de-de" sz="800" b="0" i="0" u="none" strike="noStrike" kern="100" baseline="0">
              <a:solidFill>
                <a:srgbClr val="FF0000"/>
              </a:solidFill>
              <a:latin typeface="Times New Roman" pitchFamily="1" charset="0"/>
              <a:ea typeface="SimSun" charset="0"/>
              <a:cs typeface="Times New Roman" pitchFamily="1" charset="0"/>
            </a:rPr>
            <a:t>Bundesdurchschnitt für 2 Personen (94,9)</a:t>
          </a:r>
        </a:p>
      </xdr:txBody>
    </xdr:sp>
    <xdr:clientData/>
  </xdr:twoCellAnchor>
  <xdr:twoCellAnchor>
    <xdr:from>
      <xdr:col>4</xdr:col>
      <xdr:colOff>485775</xdr:colOff>
      <xdr:row>15</xdr:row>
      <xdr:rowOff>76200</xdr:rowOff>
    </xdr:from>
    <xdr:to>
      <xdr:col>12</xdr:col>
      <xdr:colOff>514350</xdr:colOff>
      <xdr:row>15</xdr:row>
      <xdr:rowOff>76200</xdr:rowOff>
    </xdr:to>
    <xdr:sp macro="" fLocksText="0">
      <xdr:nvSpPr>
        <xdr:cNvPr id="2" name="Line 1033"/>
        <xdr:cNvSpPr>
          <a:extLst>
            <a:ext uri="smNativeData">
              <pm:smNativeData xmlns:pm="smNativeData" val="SMDATA_15_6b5OXxMAAAAlAAAACgAAAI0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BAAAAAAAAAP8AA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BgD6j0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8AAAAEAAAAvwGNAg8AAAAMAAAAvwGzAlkSAACxEgAArSUAAAAAAAAAAAAAMAAAABQAAAAAAAAAAAD//wAAAQAAAP//AAABAA=="/>
            </a:ext>
          </a:extLst>
        </xdr:cNvSpPr>
      </xdr:nvSpPr>
      <xdr:spPr>
        <a:xfrm>
          <a:off x="2982595" y="3038475"/>
          <a:ext cx="6124575" cy="0"/>
        </a:xfrm>
        <a:prstGeom prst="line">
          <a:avLst/>
        </a:prstGeom>
        <a:noFill/>
        <a:ln w="9525" cap="flat">
          <a:solidFill>
            <a:srgbClr val="FF0000"/>
          </a:solidFill>
          <a:prstDash val="solid"/>
          <a:headEnd type="none" w="med" len="med"/>
          <a:tailEnd type="none" w="med" len="med"/>
        </a:ln>
        <a:effectLst/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31</xdr:row>
      <xdr:rowOff>114300</xdr:rowOff>
    </xdr:from>
    <xdr:to>
      <xdr:col>10</xdr:col>
      <xdr:colOff>381000</xdr:colOff>
      <xdr:row>52</xdr:row>
      <xdr:rowOff>123825</xdr:rowOff>
    </xdr:to>
    <xdr:graphicFrame macro="">
      <xdr:nvGraphicFramePr>
        <xdr:cNvPr id="3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101600</xdr:colOff>
      <xdr:row>52</xdr:row>
      <xdr:rowOff>139700</xdr:rowOff>
    </xdr:from>
    <xdr:to>
      <xdr:col>10</xdr:col>
      <xdr:colOff>368300</xdr:colOff>
      <xdr:row>73</xdr:row>
      <xdr:rowOff>139700</xdr:rowOff>
    </xdr:to>
    <xdr:graphicFrame macro="">
      <xdr:nvGraphicFramePr>
        <xdr:cNvPr id="2" name="Diagramm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50</xdr:row>
      <xdr:rowOff>9525</xdr:rowOff>
    </xdr:from>
    <xdr:to>
      <xdr:col>6</xdr:col>
      <xdr:colOff>619125</xdr:colOff>
      <xdr:row>68</xdr:row>
      <xdr:rowOff>121920</xdr:rowOff>
    </xdr:to>
    <xdr:graphicFrame macro="">
      <xdr:nvGraphicFramePr>
        <xdr:cNvPr id="15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xdr:twoCellAnchor>
    <xdr:from>
      <xdr:col>0</xdr:col>
      <xdr:colOff>0</xdr:colOff>
      <xdr:row>86</xdr:row>
      <xdr:rowOff>149860</xdr:rowOff>
    </xdr:from>
    <xdr:to>
      <xdr:col>6</xdr:col>
      <xdr:colOff>627380</xdr:colOff>
      <xdr:row>104</xdr:row>
      <xdr:rowOff>9525</xdr:rowOff>
    </xdr:to>
    <xdr:graphicFrame macro="">
      <xdr:nvGraphicFramePr>
        <xdr:cNvPr id="14" name="Diagramm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twoCellAnchor>
  <xdr:twoCellAnchor>
    <xdr:from>
      <xdr:col>0</xdr:col>
      <xdr:colOff>0</xdr:colOff>
      <xdr:row>68</xdr:row>
      <xdr:rowOff>88265</xdr:rowOff>
    </xdr:from>
    <xdr:to>
      <xdr:col>6</xdr:col>
      <xdr:colOff>627380</xdr:colOff>
      <xdr:row>86</xdr:row>
      <xdr:rowOff>163830</xdr:rowOff>
    </xdr:to>
    <xdr:graphicFrame macro="">
      <xdr:nvGraphicFramePr>
        <xdr:cNvPr id="13" name="Diagramm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 fLocksWithSheet="0"/>
  </xdr:twoCellAnchor>
  <xdr:twoCellAnchor editAs="oneCell">
    <xdr:from>
      <xdr:col>0</xdr:col>
      <xdr:colOff>57150</xdr:colOff>
      <xdr:row>69</xdr:row>
      <xdr:rowOff>19050</xdr:rowOff>
    </xdr:from>
    <xdr:to>
      <xdr:col>0</xdr:col>
      <xdr:colOff>514985</xdr:colOff>
      <xdr:row>70</xdr:row>
      <xdr:rowOff>114935</xdr:rowOff>
    </xdr:to>
    <xdr:sp macro="" fLocksText="0">
      <xdr:nvSpPr>
        <xdr:cNvPr id="12" name="Textfeld 2"/>
        <xdr:cNvSpPr>
          <a:extLst>
            <a:ext uri="smNativeData">
              <pm:smNativeData xmlns:pm="smNativeData" val="SMDATA_15_6b5OXxMAAAAlAAAAZAAAAI0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EUAAAAAAAAAcgBKAEYAAAAAAAAAsQKYAloAAAAfSwAA0QIAAKQBAAABAAAAMAAAABQAAAAAAAAAAAD//wAAAQAAAP//AAABAA=="/>
            </a:ext>
          </a:extLst>
        </xdr:cNvSpPr>
      </xdr:nvSpPr>
      <xdr:spPr>
        <a:xfrm>
          <a:off x="57150" y="12211685"/>
          <a:ext cx="457835" cy="266700"/>
        </a:xfrm>
        <a:prstGeom prst="rect">
          <a:avLst/>
        </a:prstGeom>
        <a:noFill/>
        <a:ln w="9525" cap="flat">
          <a:noFill/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lIns="91440" tIns="45720" rIns="91440" bIns="45720" anchor="t" upright="1"/>
        <a:lstStyle/>
        <a:p>
          <a:pPr algn="l" defTabSz="360045" rtl="0">
            <a:defRPr sz="1000"/>
          </a:pPr>
          <a:r>
            <a:rPr lang="de-de" sz="10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Liter</a:t>
          </a:r>
        </a:p>
      </xdr:txBody>
    </xdr:sp>
    <xdr:clientData/>
  </xdr:twoCellAnchor>
  <xdr:twoCellAnchor editAs="oneCell">
    <xdr:from>
      <xdr:col>0</xdr:col>
      <xdr:colOff>0</xdr:colOff>
      <xdr:row>87</xdr:row>
      <xdr:rowOff>104775</xdr:rowOff>
    </xdr:from>
    <xdr:to>
      <xdr:col>0</xdr:col>
      <xdr:colOff>457200</xdr:colOff>
      <xdr:row>88</xdr:row>
      <xdr:rowOff>114935</xdr:rowOff>
    </xdr:to>
    <xdr:sp macro="" fLocksText="0">
      <xdr:nvSpPr>
        <xdr:cNvPr id="11" name="Textfeld 5"/>
        <xdr:cNvSpPr>
          <a:extLst>
            <a:ext uri="smNativeData">
              <pm:smNativeData xmlns:pm="smNativeData" val="SMDATA_15_6b5OXxMAAAAlAAAAZAAAAI0A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FcAAAAAAAAAdAIAAFgAAAAAAAAAsQJOAgAAAACQXgAA0AIAAB0BAAABAAAAMAAAABQAAAAAAAAAAAD//wAAAQAAAP//AAABAA=="/>
            </a:ext>
          </a:extLst>
        </xdr:cNvSpPr>
      </xdr:nvSpPr>
      <xdr:spPr>
        <a:xfrm>
          <a:off x="0" y="15372080"/>
          <a:ext cx="457200" cy="180975"/>
        </a:xfrm>
        <a:prstGeom prst="rect">
          <a:avLst/>
        </a:prstGeom>
        <a:noFill/>
        <a:ln w="9525" cap="flat">
          <a:noFill/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lIns="91440" tIns="45720" rIns="91440" bIns="45720" anchor="t" upright="1"/>
        <a:lstStyle/>
        <a:p>
          <a:pPr algn="l" defTabSz="360045" rtl="0">
            <a:defRPr sz="1000"/>
          </a:pPr>
          <a:r>
            <a:rPr lang="de-de" sz="10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Liter</a:t>
          </a:r>
        </a:p>
      </xdr:txBody>
    </xdr:sp>
    <xdr:clientData/>
  </xdr:twoCellAnchor>
  <xdr:twoCellAnchor>
    <xdr:from>
      <xdr:col>8</xdr:col>
      <xdr:colOff>46990</xdr:colOff>
      <xdr:row>51</xdr:row>
      <xdr:rowOff>17145</xdr:rowOff>
    </xdr:from>
    <xdr:to>
      <xdr:col>13</xdr:col>
      <xdr:colOff>767080</xdr:colOff>
      <xdr:row>104</xdr:row>
      <xdr:rowOff>140970</xdr:rowOff>
    </xdr:to>
    <xdr:grpSp>
      <xdr:nvGrpSpPr>
        <xdr:cNvPr id="7" name="Gruppieren 12"/>
        <xdr:cNvGrpSpPr>
          <a:extLst>
            <a:ext uri="smNativeData">
              <pm:smNativeData xmlns:pm="smNativeData" val="SMDATA_5_6b5OXxMAAAAlAAAAAQAAAI8BAAAAkAAAAEgAAACQAAAASAAAAAAAAAAAAAAAAAAAABcAAAAUAAAAAAAAAAAAAAD/fwAA/38AAAAAAAAJAAAABAAAAPvx5f8MAAAAEAAAAAAAAAAAAAAAAAAAAAAAAAAhAAAAMAAAACwAAAAzAAAACAAAAGcAPQBoAAAADQAAAE0DxAMVJwAAMjgAANAdAAB0OAAAAAAAAA=="/>
            </a:ext>
          </a:extLst>
        </xdr:cNvGrpSpPr>
      </xdr:nvGrpSpPr>
      <xdr:grpSpPr>
        <a:xfrm>
          <a:off x="6353175" y="9135110"/>
          <a:ext cx="4846320" cy="9177020"/>
          <a:chOff x="6353175" y="9135110"/>
          <a:chExt cx="4846320" cy="9177020"/>
        </a:xfrm>
      </xdr:grpSpPr>
      <xdr:graphicFrame macro="">
        <xdr:nvGraphicFramePr>
          <xdr:cNvPr id="8" name="Diagramm 6"/>
          <xdr:cNvGraphicFramePr/>
        </xdr:nvGraphicFramePr>
        <xdr:xfrm>
          <a:off x="6595110" y="8688705"/>
          <a:ext cx="5047615" cy="321373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graphicFrame macro="">
        <xdr:nvGraphicFramePr>
          <xdr:cNvPr id="9" name="Diagramm 7"/>
          <xdr:cNvGraphicFramePr/>
        </xdr:nvGraphicFramePr>
        <xdr:xfrm>
          <a:off x="6595110" y="11849735"/>
          <a:ext cx="5047615" cy="320230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graphicFrame macro="">
        <xdr:nvGraphicFramePr>
          <xdr:cNvPr id="10" name="Diagramm 8"/>
          <xdr:cNvGraphicFramePr/>
        </xdr:nvGraphicFramePr>
        <xdr:xfrm>
          <a:off x="6605905" y="15031085"/>
          <a:ext cx="5036820" cy="300799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</xdr:grpSp>
    <xdr:clientData/>
  </xdr:twoCellAnchor>
  <xdr:twoCellAnchor>
    <xdr:from>
      <xdr:col>8</xdr:col>
      <xdr:colOff>200025</xdr:colOff>
      <xdr:row>68</xdr:row>
      <xdr:rowOff>85725</xdr:rowOff>
    </xdr:from>
    <xdr:to>
      <xdr:col>9</xdr:col>
      <xdr:colOff>66675</xdr:colOff>
      <xdr:row>69</xdr:row>
      <xdr:rowOff>152400</xdr:rowOff>
    </xdr:to>
    <xdr:sp macro="" fLocksText="0">
      <xdr:nvSpPr>
        <xdr:cNvPr id="6" name="Textfeld 9"/>
        <xdr:cNvSpPr>
          <a:extLst>
            <a:ext uri="smNativeData">
              <pm:smNativeData xmlns:pm="smNativeData" val="SMDATA_15_6b5OXxMAAAAlAAAAZAAAAI0AAAAAkAAAAEgAAACQAAAASAAAAAAAAAAAAAAAAAAAAAEAAABQAAAAAAAAAAAA4D8AAAAAAADgPwAAAAAAAOA/AAAAAAAA4D8AAAAAAADgPwAAAAAAAOA/AAAAAAAA4D8AAAAAAADgPwAAAAAAAOA/AAAAAAAA4D8CAAAAjAAAAAAAAAAAAAAA////AAAAAAAAAAAAAAAAAAAAAAAAAAAAAAAAAAAAAAAAAAAAeAAAAAEAAABAAAAAAAAAAAAAAAB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AAAAAA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EQAAAAIAAAAAgICAUUAAAAJAAAAkgNDAAYoAAB7SgAAEAQAAHYBAAAAAAAAMAAAABQAAAAAAAAAAAD//wAAAQAAAP//AAABAA=="/>
            </a:ext>
          </a:extLst>
        </xdr:cNvSpPr>
      </xdr:nvSpPr>
      <xdr:spPr>
        <a:xfrm>
          <a:off x="6506210" y="12107545"/>
          <a:ext cx="660400" cy="23749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lIns="91440" tIns="45720" rIns="91440" bIns="45720" anchor="t" upright="1"/>
        <a:lstStyle/>
        <a:p>
          <a:pPr algn="l" defTabSz="360045" rtl="0">
            <a:defRPr sz="1000"/>
          </a:pPr>
          <a:r>
            <a:rPr lang="de-de" sz="10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Liter</a:t>
          </a:r>
        </a:p>
      </xdr:txBody>
    </xdr:sp>
    <xdr:clientData/>
  </xdr:twoCellAnchor>
  <xdr:twoCellAnchor>
    <xdr:from>
      <xdr:col>8</xdr:col>
      <xdr:colOff>266700</xdr:colOff>
      <xdr:row>86</xdr:row>
      <xdr:rowOff>152400</xdr:rowOff>
    </xdr:from>
    <xdr:to>
      <xdr:col>9</xdr:col>
      <xdr:colOff>37465</xdr:colOff>
      <xdr:row>88</xdr:row>
      <xdr:rowOff>0</xdr:rowOff>
    </xdr:to>
    <xdr:sp macro="" fLocksText="0">
      <xdr:nvSpPr>
        <xdr:cNvPr id="5" name="Textfeld 10"/>
        <xdr:cNvSpPr>
          <a:extLst>
            <a:ext uri="smNativeData">
              <pm:smNativeData xmlns:pm="smNativeData" val="SMDATA_15_6b5OXxMAAAAlAAAAZAAAAI0AAAAAkAAAAEgAAACQAAAASAAAAAAAAAAAAAAAAAAAAAEAAABQAAAAAAAAAAAA4D8AAAAAAADgPwAAAAAAAOA/AAAAAAAA4D8AAAAAAADgPwAAAAAAAOA/AAAAAAAA4D8AAAAAAADgPwAAAAAAAOA/AAAAAAAA4D8CAAAAjAAAAAEAAAAAAAAA////AAAAAAAAAAAAAAAAAAAAAAAAAAAAAAAAAAAAAAAAAAAAeAAAAAEAAABAAAAAAAAAAAAAAAB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AAAAAA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FYAAAAIAAAAkgNYAVgAAAAJAAAAAAAmAG8oAADOXQAAeQMAACoBAAAAAAAAMAAAABQAAAAAAAAAAAD//wAAAQAAAP//AAABAA=="/>
            </a:ext>
          </a:extLst>
        </xdr:cNvSpPr>
      </xdr:nvSpPr>
      <xdr:spPr>
        <a:xfrm>
          <a:off x="6572885" y="15248890"/>
          <a:ext cx="564515" cy="189230"/>
        </a:xfrm>
        <a:prstGeom prst="rect">
          <a:avLst/>
        </a:prstGeom>
        <a:solidFill>
          <a:srgbClr val="FFFFFF"/>
        </a:solidFill>
        <a:ln w="12700" cap="flat">
          <a:noFill/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lIns="91440" tIns="45720" rIns="91440" bIns="45720" anchor="t" upright="1"/>
        <a:lstStyle/>
        <a:p>
          <a:pPr algn="l" defTabSz="360045" rtl="0">
            <a:defRPr sz="1000"/>
          </a:pPr>
          <a:r>
            <a:rPr lang="de-de" sz="10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Liter</a:t>
          </a:r>
        </a:p>
      </xdr:txBody>
    </xdr:sp>
    <xdr:clientData/>
  </xdr:twoCellAnchor>
  <xdr:twoCellAnchor>
    <xdr:from>
      <xdr:col>16</xdr:col>
      <xdr:colOff>46990</xdr:colOff>
      <xdr:row>50</xdr:row>
      <xdr:rowOff>28575</xdr:rowOff>
    </xdr:from>
    <xdr:to>
      <xdr:col>22</xdr:col>
      <xdr:colOff>171450</xdr:colOff>
      <xdr:row>68</xdr:row>
      <xdr:rowOff>76200</xdr:rowOff>
    </xdr:to>
    <xdr:graphicFrame macro="">
      <xdr:nvGraphicFramePr>
        <xdr:cNvPr id="4" name="Diagramm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46990</xdr:colOff>
      <xdr:row>68</xdr:row>
      <xdr:rowOff>76200</xdr:rowOff>
    </xdr:from>
    <xdr:to>
      <xdr:col>22</xdr:col>
      <xdr:colOff>171450</xdr:colOff>
      <xdr:row>86</xdr:row>
      <xdr:rowOff>95250</xdr:rowOff>
    </xdr:to>
    <xdr:graphicFrame macro="">
      <xdr:nvGraphicFramePr>
        <xdr:cNvPr id="3" name="Diagramm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16</xdr:col>
      <xdr:colOff>46990</xdr:colOff>
      <xdr:row>86</xdr:row>
      <xdr:rowOff>95250</xdr:rowOff>
    </xdr:from>
    <xdr:to>
      <xdr:col>22</xdr:col>
      <xdr:colOff>171450</xdr:colOff>
      <xdr:row>103</xdr:row>
      <xdr:rowOff>123825</xdr:rowOff>
    </xdr:to>
    <xdr:graphicFrame macro="">
      <xdr:nvGraphicFramePr>
        <xdr:cNvPr id="2" name="Diagramm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Times New Roman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90000"/>
        </a:solidFill>
        <a:ln w="9525" cap="flat">
          <a:solidFill>
            <a:srgbClr val="400000"/>
          </a:solidFill>
          <a:prstDash val="solid"/>
          <a:headEnd type="none" w="med" len="med"/>
          <a:tailEnd type="none" w="med" len="med"/>
        </a:ln>
        <a:effectLst>
          <a:outerShdw dist="35921" dir="2700000" algn="ctr">
            <a:srgbClr val="808080"/>
          </a:outerShdw>
        </a:effectLst>
      </a:spPr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6"/>
  <sheetViews>
    <sheetView view="normal" workbookViewId="0">
      <selection activeCell="G27" sqref="G27"/>
    </sheetView>
  </sheetViews>
  <sheetFormatPr baseColWidth="10" defaultColWidth="10.750000" defaultRowHeight="13.45"/>
  <cols>
    <col min="1" max="1" width="6.660000" customWidth="1"/>
    <col min="2" max="2" width="8.500000" customWidth="1"/>
    <col min="3" max="3" width="7.330000" customWidth="1"/>
    <col min="4" max="4" width="12.830000" customWidth="1"/>
    <col min="5" max="5" width="13.000000" customWidth="1" style="6"/>
    <col min="6" max="12" width="12.000000" customWidth="1" style="6"/>
  </cols>
  <sheetData>
    <row r="1" spans="1:12" s="0" customFormat="1">
      <c r="A1" s="3" t="s">
        <v>0</v>
      </c>
      <c r="B1" s="3" t="s">
        <v>1</v>
      </c>
      <c r="C1" s="3" t="s">
        <v>2</v>
      </c>
      <c r="D1" s="3" t="s">
        <v>3</v>
      </c>
      <c r="E1" s="5" t="s">
        <v>4</v>
      </c>
      <c r="F1" s="6"/>
      <c r="G1" s="6"/>
      <c r="H1" s="6"/>
      <c r="I1" s="6"/>
      <c r="J1" s="6"/>
      <c r="K1" s="6"/>
      <c r="L1" s="6"/>
    </row>
    <row r="2" spans="1:5">
      <c r="A2" s="2" t="n">
        <v>1985</v>
      </c>
      <c r="B2" s="2" t="n">
        <v>3348</v>
      </c>
      <c r="C2" s="2" t="n">
        <v>365</v>
      </c>
      <c r="D2" s="15">
        <f>ROUND(B2/C2,2)</f>
        <v>9.16999999999999993</v>
      </c>
      <c r="E2" s="15">
        <f>SUM(D2,D3)/2</f>
        <v>7.49000000000000021</v>
      </c>
    </row>
    <row r="3" spans="1:5">
      <c r="A3" s="2" t="n">
        <v>1986</v>
      </c>
      <c r="B3" s="2" t="n">
        <v>2108</v>
      </c>
      <c r="C3" s="2" t="n">
        <v>363</v>
      </c>
      <c r="D3" s="15">
        <f>ROUND(B3/C3,2)</f>
        <v>5.80999999999999961</v>
      </c>
      <c r="E3" s="15">
        <f>SUM(D2:D4)/3</f>
        <v>7.09666666666667023</v>
      </c>
    </row>
    <row r="4" spans="1:5">
      <c r="A4" s="2" t="n">
        <v>1987</v>
      </c>
      <c r="B4" s="2" t="n">
        <v>2341</v>
      </c>
      <c r="C4" s="2" t="n">
        <v>371</v>
      </c>
      <c r="D4" s="15">
        <f>ROUND(B4/C4,2)</f>
        <v>6.30999999999999961</v>
      </c>
      <c r="E4" s="15">
        <f>SUM(D2:D6)/5</f>
        <v>7.03200000000000003</v>
      </c>
    </row>
    <row r="5" spans="1:5">
      <c r="A5" s="2" t="n">
        <v>1988</v>
      </c>
      <c r="B5" s="2" t="n">
        <v>2494</v>
      </c>
      <c r="C5" s="2" t="n">
        <v>366</v>
      </c>
      <c r="D5" s="15">
        <f>ROUND(B5/C5,2)</f>
        <v>6.80999999999999961</v>
      </c>
      <c r="E5" s="15">
        <f>SUM(D3:D7)/5</f>
        <v>6.6379999999999999</v>
      </c>
    </row>
    <row r="6" spans="1:5">
      <c r="A6" s="2" t="n">
        <v>1989</v>
      </c>
      <c r="B6" s="2" t="n">
        <v>2569</v>
      </c>
      <c r="C6" s="2" t="n">
        <v>364</v>
      </c>
      <c r="D6" s="15">
        <f>ROUND(B6/C6,2)</f>
        <v>7.05999999999999961</v>
      </c>
      <c r="E6" s="15">
        <f>SUM(D4:D8)/5</f>
        <v>6.96199999999999974</v>
      </c>
    </row>
    <row r="7" spans="1:5">
      <c r="A7" s="2" t="n">
        <v>1990</v>
      </c>
      <c r="B7" s="2" t="n">
        <v>2627</v>
      </c>
      <c r="C7" s="2" t="n">
        <v>365</v>
      </c>
      <c r="D7" s="15">
        <f>ROUND(B7/C7,2)</f>
        <v>7.20000000000000018</v>
      </c>
      <c r="E7" s="15">
        <f>SUM(D5:D9)/5</f>
        <v>7.20999999999999996</v>
      </c>
    </row>
    <row r="8" spans="1:5">
      <c r="A8" s="2" t="n">
        <v>1991</v>
      </c>
      <c r="B8" s="2" t="n">
        <v>2674</v>
      </c>
      <c r="C8" s="2" t="n">
        <v>360</v>
      </c>
      <c r="D8" s="15">
        <f>ROUND(B8/C8,2)</f>
        <v>7.42999999999999972</v>
      </c>
      <c r="E8" s="15">
        <f>SUM(D6:D10)/5</f>
        <v>7.43400000000000016</v>
      </c>
    </row>
    <row r="9" spans="1:5">
      <c r="A9" s="2" t="n">
        <v>1992</v>
      </c>
      <c r="B9" s="2" t="n">
        <v>2825</v>
      </c>
      <c r="C9" s="2" t="n">
        <v>374</v>
      </c>
      <c r="D9" s="15">
        <f>ROUND(B9/C9,2)</f>
        <v>7.54999999999999982</v>
      </c>
      <c r="E9" s="15">
        <f>SUM(D7:D11)/5</f>
        <v>7.43200000000000038</v>
      </c>
    </row>
    <row r="10" spans="1:5">
      <c r="A10" s="2" t="n">
        <v>1993</v>
      </c>
      <c r="B10" s="2" t="n">
        <v>2885</v>
      </c>
      <c r="C10" s="2" t="n">
        <v>364</v>
      </c>
      <c r="D10" s="15">
        <f>ROUND(B10/C10,2)</f>
        <v>7.92999999999999972</v>
      </c>
      <c r="E10" s="15">
        <f>SUM(D8:D12)/5</f>
        <v>7.28200000000000003</v>
      </c>
    </row>
    <row r="11" spans="1:5">
      <c r="A11" s="2" t="n">
        <v>1994</v>
      </c>
      <c r="B11" s="2" t="n">
        <v>2525</v>
      </c>
      <c r="C11" s="2" t="n">
        <v>358</v>
      </c>
      <c r="D11" s="15">
        <f>ROUND(B11/C11,2)</f>
        <v>7.04999999999999982</v>
      </c>
      <c r="E11" s="15">
        <f>SUM(D9:D13)/5</f>
        <v>7.13400000000000034</v>
      </c>
    </row>
    <row r="12" spans="1:5">
      <c r="A12" s="2" t="n">
        <v>1995</v>
      </c>
      <c r="B12" s="2" t="n">
        <v>2315</v>
      </c>
      <c r="C12" s="2" t="n">
        <v>359</v>
      </c>
      <c r="D12" s="15">
        <f>ROUND(B12/C12,2)</f>
        <v>6.45000000000000018</v>
      </c>
      <c r="E12" s="15">
        <f>SUM(D10:D14)/5</f>
        <v>6.81599999999999984</v>
      </c>
    </row>
    <row r="13" spans="1:5">
      <c r="A13" s="2" t="n">
        <v>1996</v>
      </c>
      <c r="B13" s="2" t="n">
        <v>2447</v>
      </c>
      <c r="C13" s="2" t="n">
        <v>366</v>
      </c>
      <c r="D13" s="15">
        <f>ROUND(B13/C13,2)</f>
        <v>6.69000000000000039</v>
      </c>
      <c r="E13" s="15">
        <f>SUM(D11:D15)/5</f>
        <v>6.49800000000000022</v>
      </c>
    </row>
    <row r="14" spans="1:5">
      <c r="A14" s="2" t="n">
        <v>1997</v>
      </c>
      <c r="B14" s="2" t="n">
        <v>2170</v>
      </c>
      <c r="C14" s="2" t="n">
        <v>364</v>
      </c>
      <c r="D14" s="15">
        <f>ROUND(B14/C14,2)</f>
        <v>5.95999999999999996</v>
      </c>
      <c r="E14" s="15">
        <f>SUM(D12:D16)/5</f>
        <v>6.38400000000000034</v>
      </c>
    </row>
    <row r="15" spans="1:5">
      <c r="A15" s="2" t="n">
        <v>1998</v>
      </c>
      <c r="B15" s="2" t="n">
        <v>2307</v>
      </c>
      <c r="C15" s="2" t="n">
        <v>364</v>
      </c>
      <c r="D15" s="15">
        <f>ROUND(B15/C15,2)</f>
        <v>6.33999999999999986</v>
      </c>
      <c r="E15" s="15">
        <f>SUM(D13:D17)/5</f>
        <v>6.47200000000000042</v>
      </c>
    </row>
    <row r="16" spans="1:5">
      <c r="A16" s="2" t="n">
        <v>1999</v>
      </c>
      <c r="B16" s="2" t="n">
        <v>2379</v>
      </c>
      <c r="C16" s="2" t="n">
        <v>367</v>
      </c>
      <c r="D16" s="15">
        <f>ROUND(B16/C16,2)</f>
        <v>6.48000000000000043</v>
      </c>
      <c r="E16" s="15">
        <f>SUM(D14:D18)/5</f>
        <v>6.36000000000000032</v>
      </c>
    </row>
    <row r="17" spans="1:5">
      <c r="A17" s="2" t="n">
        <v>2000</v>
      </c>
      <c r="B17" s="2" t="n">
        <v>2500</v>
      </c>
      <c r="C17" s="2" t="n">
        <v>363</v>
      </c>
      <c r="D17" s="15">
        <f>ROUND(B17/C17,2)</f>
        <v>6.88999999999999968</v>
      </c>
      <c r="E17" s="15">
        <f>SUM(D15:D19)/5</f>
        <v>6.42400000000000038</v>
      </c>
    </row>
    <row r="18" spans="1:5">
      <c r="A18" s="2" t="n">
        <v>2001</v>
      </c>
      <c r="B18" s="2" t="n">
        <v>1986</v>
      </c>
      <c r="C18" s="2" t="n">
        <v>324</v>
      </c>
      <c r="D18" s="15">
        <f>ROUND(B18/C18,2)</f>
        <v>6.12999999999999989</v>
      </c>
      <c r="E18" s="15">
        <f>SUM(D16:D20)/5</f>
        <v>6.31799999999999962</v>
      </c>
    </row>
    <row r="19" spans="1:5">
      <c r="A19" s="2" t="n">
        <v>2002</v>
      </c>
      <c r="B19" s="2" t="n">
        <v>2311</v>
      </c>
      <c r="C19" s="2" t="n">
        <v>368</v>
      </c>
      <c r="D19" s="15">
        <f>ROUND(B19/C19,2)</f>
        <v>6.28000000000000025</v>
      </c>
      <c r="E19" s="15">
        <f>SUM(D17:D21)/5</f>
        <v>6.25800000000000001</v>
      </c>
    </row>
    <row r="20" spans="1:5">
      <c r="A20" s="2" t="n">
        <v>2003</v>
      </c>
      <c r="B20" s="2" t="n">
        <v>2125</v>
      </c>
      <c r="C20" s="2" t="n">
        <v>366</v>
      </c>
      <c r="D20" s="15">
        <f>ROUND(B20/C20,2)</f>
        <v>5.80999999999999961</v>
      </c>
      <c r="E20" s="15">
        <f>SUM(D18:D22)/5</f>
        <v>6.14400000000000013</v>
      </c>
    </row>
    <row r="21" spans="1:5">
      <c r="A21" s="2" t="n">
        <v>2004</v>
      </c>
      <c r="B21" s="2" t="n">
        <v>2212</v>
      </c>
      <c r="C21" s="2" t="n">
        <v>358</v>
      </c>
      <c r="D21" s="15">
        <f>ROUND(B21/C21,2)</f>
        <v>6.17999999999999972</v>
      </c>
      <c r="E21" s="15">
        <f>SUM(D19:D23)/5</f>
        <v>6.25199999999999978</v>
      </c>
    </row>
    <row r="22" spans="1:5">
      <c r="A22" s="2" t="n">
        <v>2005</v>
      </c>
      <c r="B22" s="2" t="n">
        <v>2275</v>
      </c>
      <c r="C22" s="2" t="n">
        <v>360</v>
      </c>
      <c r="D22" s="15">
        <f>ROUND(B22/C22,2)</f>
        <v>6.32000000000000028</v>
      </c>
      <c r="E22" s="15">
        <f>SUM(D20:D24)/5</f>
        <v>6.29999999999999982</v>
      </c>
    </row>
    <row r="23" spans="1:5">
      <c r="A23" s="2" t="n">
        <v>2006</v>
      </c>
      <c r="B23" s="2" t="n">
        <v>2767</v>
      </c>
      <c r="C23" s="2" t="n">
        <v>415</v>
      </c>
      <c r="D23" s="15">
        <f>ROUND(B23/C23,2)</f>
        <v>6.66999999999999993</v>
      </c>
      <c r="E23" s="15">
        <f>SUM(D21:D25)/5</f>
        <v>6.40599999999999969</v>
      </c>
    </row>
    <row r="24" spans="1:5">
      <c r="A24" s="2" t="n">
        <v>2007</v>
      </c>
      <c r="B24" s="2" t="n">
        <v>2562</v>
      </c>
      <c r="C24" s="2" t="n">
        <v>393</v>
      </c>
      <c r="D24" s="15">
        <f>ROUND(B24/C24,2)</f>
        <v>6.51999999999999957</v>
      </c>
      <c r="E24" s="15">
        <f>SUM(D22:D26)/5</f>
        <v>6.33800000000000008</v>
      </c>
    </row>
    <row r="25" spans="1:5">
      <c r="A25" s="2" t="n">
        <v>2008</v>
      </c>
      <c r="B25" s="2" t="n">
        <v>2321</v>
      </c>
      <c r="C25" s="2" t="n">
        <v>366</v>
      </c>
      <c r="D25" s="15">
        <f>ROUND(B25/C25,2)</f>
        <v>6.33999999999999986</v>
      </c>
      <c r="E25" s="15">
        <f>SUM(D23:D27)/5</f>
        <v>6.28399999999999981</v>
      </c>
    </row>
    <row r="26" spans="1:5">
      <c r="A26" s="2" t="n">
        <v>2009</v>
      </c>
      <c r="B26" s="2" t="n">
        <v>2131</v>
      </c>
      <c r="C26" s="2" t="n">
        <v>365</v>
      </c>
      <c r="D26" s="15">
        <f>ROUND(B26/C26,2)</f>
        <v>5.83999999999999986</v>
      </c>
      <c r="E26" s="15">
        <f>SUM(D24:D28)/5</f>
        <v>6.09400000000000031</v>
      </c>
    </row>
    <row r="27" spans="1:5">
      <c r="A27" s="2" t="n">
        <v>2010</v>
      </c>
      <c r="B27" s="2" t="n">
        <v>2209</v>
      </c>
      <c r="C27" s="2" t="n">
        <v>365</v>
      </c>
      <c r="D27" s="15">
        <f>ROUND(B27/C27,2)</f>
        <v>6.04999999999999982</v>
      </c>
      <c r="E27" s="15">
        <f>SUM(D25:D29)/5</f>
        <v>5.94399999999999995</v>
      </c>
    </row>
    <row r="28" spans="1:5">
      <c r="A28" s="2" t="n">
        <v>2011</v>
      </c>
      <c r="B28" s="2" t="n">
        <v>2086</v>
      </c>
      <c r="C28" s="2" t="n">
        <v>365</v>
      </c>
      <c r="D28" s="15">
        <f>ROUND(B28/C28,2)</f>
        <v>5.71999999999999975</v>
      </c>
      <c r="E28" s="15">
        <f>SUM(D26:D30)/5</f>
        <v>5.81599999999999984</v>
      </c>
    </row>
    <row r="29" spans="1:5">
      <c r="A29" s="2" t="n">
        <v>2012</v>
      </c>
      <c r="B29" s="2" t="n">
        <v>2113</v>
      </c>
      <c r="C29" s="2" t="n">
        <v>366</v>
      </c>
      <c r="D29" s="15">
        <f>ROUND(B29/C29,2)</f>
        <v>5.76999999999999957</v>
      </c>
      <c r="E29" s="15">
        <f>SUM(D27:D31)/5</f>
        <v>5.80999999999999961</v>
      </c>
    </row>
    <row r="30" spans="1:5">
      <c r="A30" s="2" t="n">
        <v>2013</v>
      </c>
      <c r="B30" s="2" t="n">
        <v>2080</v>
      </c>
      <c r="C30" s="2" t="n">
        <v>365</v>
      </c>
      <c r="D30" s="15">
        <f>ROUND(B30/C30,2)</f>
        <v>5.70000000000000018</v>
      </c>
      <c r="E30" s="15">
        <f>SUM(D28:D32)/5</f>
        <v>5.68599999999999994</v>
      </c>
    </row>
    <row r="31" spans="1:5">
      <c r="A31" s="2" t="n">
        <v>2014</v>
      </c>
      <c r="B31" s="2" t="n">
        <v>2122</v>
      </c>
      <c r="C31" s="2" t="n">
        <v>365</v>
      </c>
      <c r="D31" s="15">
        <f>ROUND(B31/C31,2)</f>
        <v>5.80999999999999961</v>
      </c>
      <c r="E31" s="15">
        <f>SUM(D29:D32)/4</f>
        <v>5.67750000000000021</v>
      </c>
    </row>
    <row r="32" spans="1:5">
      <c r="A32" s="2" t="n">
        <v>2015</v>
      </c>
      <c r="B32" s="2" t="n">
        <v>1983</v>
      </c>
      <c r="C32" s="2" t="n">
        <v>365</v>
      </c>
      <c r="D32" s="15">
        <f>ROUND(B32/C32,2)</f>
        <v>5.42999999999999972</v>
      </c>
      <c r="E32" s="15">
        <f>SUM(D30:D32)/3</f>
        <v>5.64666666666667005</v>
      </c>
    </row>
    <row r="33" spans="1:5">
      <c r="A33" s="2"/>
      <c r="B33" s="2"/>
      <c r="C33" s="2"/>
      <c r="D33" s="15" t="e">
        <f>ROUND(B33/C33,2)</f>
        <v>#DIV/0!</v>
      </c>
      <c r="E33" s="15"/>
    </row>
    <row r="34" spans="1:5">
      <c r="A34" s="2"/>
      <c r="B34" s="2"/>
      <c r="C34" s="2"/>
      <c r="D34" s="15" t="e">
        <f>ROUND(B34/C34,2)</f>
        <v>#DIV/0!</v>
      </c>
      <c r="E34" s="15"/>
    </row>
    <row r="35" spans="1:5">
      <c r="A35" s="2"/>
      <c r="B35" s="2"/>
      <c r="C35" s="2"/>
      <c r="D35" s="15" t="e">
        <f>ROUND(B35/C35,2)</f>
        <v>#DIV/0!</v>
      </c>
      <c r="E35" s="15"/>
    </row>
    <row r="36" spans="1:5">
      <c r="A36" s="2"/>
      <c r="B36" s="2"/>
      <c r="C36" s="2"/>
      <c r="D36" s="15" t="e">
        <f>ROUND(B36/C36,2)</f>
        <v>#DIV/0!</v>
      </c>
      <c r="E36" s="15"/>
    </row>
  </sheetData>
  <printOptions horizontalCentered="1" verticalCentered="1">
    <extLst>
      <ext uri="smNativeData">
        <pm:pageFlags xmlns:pm="smNativeData" id="1598996201" printRowHead="0" printColHead="0" printHeadLine="0" printFootLine="0" autoHeightHeader="0" autoHeightFooter="0" fitToPageBoth="0"/>
      </ext>
    </extLst>
  </printOptions>
  <pageMargins left="0.370139" right="0.329861" top="0.984028" bottom="0.984028" header="0.511806" footer="0.511806"/>
  <pageSetup paperSize="9" fitToWidth="0" fitToHeight="1" orientation="landscape"/>
  <headerFooter>
    <extLst>
      <ext uri="smNativeData">
        <pm:header xmlns:pm="smNativeData" id="1598996201" l="56" r="56" t="56" b="56" borderId="0" fillId="0" vertical="0"/>
        <pm:footer xmlns:pm="smNativeData" id="1598996201" l="56" r="56" t="56" b="56" borderId="0" fillId="0" vertical="2"/>
        <pm:paperBin xmlns:pm="smNativeData" id="1598996201" Id="0" type="0" value="0"/>
        <pm:paperBin xmlns:pm="smNativeData" id="1598996201" Id="1" type="0" value="0"/>
      </ext>
    </extLst>
  </headerFooter>
  <rowBreaks count="1" manualBreakCount="1">
    <brk id="28" man="1"/>
  </rowBreaks>
  <drawing r:id="rId1"/>
  <extLst>
    <ext uri="smNativeData">
      <pm:sheetPrefs xmlns:pm="smNativeData" day="159899620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J33"/>
  <sheetViews>
    <sheetView view="normal" workbookViewId="0">
      <selection activeCell="R25" sqref="R25"/>
    </sheetView>
  </sheetViews>
  <sheetFormatPr baseColWidth="10" defaultColWidth="10.750000" defaultRowHeight="13.45"/>
  <cols>
    <col min="1" max="1" width="10.000000" customWidth="1" style="6"/>
    <col min="2" max="2" width="9.330000" customWidth="1" style="6"/>
    <col min="3" max="3" width="9.830000" customWidth="1" style="6"/>
    <col min="4" max="4" width="10.160000" customWidth="1" style="6"/>
    <col min="5" max="10" width="12.000000" customWidth="1" style="6"/>
    <col min="11" max="16384" width="12.000000" customWidth="1" style="0"/>
  </cols>
  <sheetData>
    <row r="1" spans="1:4">
      <c r="A1" s="13" t="s">
        <v>0</v>
      </c>
      <c r="B1" s="13" t="s">
        <v>5</v>
      </c>
      <c r="C1" s="13" t="s">
        <v>6</v>
      </c>
      <c r="D1" s="14" t="s">
        <v>7</v>
      </c>
    </row>
    <row r="2" spans="1:4">
      <c r="A2" s="4" t="n">
        <v>1985</v>
      </c>
      <c r="B2" s="18" t="n">
        <v>112</v>
      </c>
      <c r="C2" s="16" t="n">
        <v>112</v>
      </c>
      <c r="D2" s="17">
        <f>ROUND(((B2/2)/365)*1000,2)</f>
        <v>153.419999999999987</v>
      </c>
    </row>
    <row r="3" spans="1:4">
      <c r="A3" s="4" t="n">
        <v>1986</v>
      </c>
      <c r="B3" s="18" t="n">
        <v>104</v>
      </c>
      <c r="C3" s="16">
        <f>ROUND((B2+B3)/2,2)</f>
        <v>108</v>
      </c>
      <c r="D3" s="17">
        <f>ROUND(((B3/2)/365)*1000,2)</f>
        <v>142.469999999999999</v>
      </c>
    </row>
    <row r="4" spans="1:4">
      <c r="A4" s="4" t="n">
        <v>1987</v>
      </c>
      <c r="B4" s="18" t="n">
        <v>111</v>
      </c>
      <c r="C4" s="16">
        <f>ROUND((B2+B3+B4)/3,2)</f>
        <v>109</v>
      </c>
      <c r="D4" s="17">
        <f>ROUND(((B4/2)/365)*1000,2)</f>
        <v>152.050000000000011</v>
      </c>
    </row>
    <row r="5" spans="1:4">
      <c r="A5" s="4" t="n">
        <v>1988</v>
      </c>
      <c r="B5" s="18" t="n">
        <v>109</v>
      </c>
      <c r="C5" s="16">
        <f>ROUND((B3+B4+B5)/3,2)</f>
        <v>108</v>
      </c>
      <c r="D5" s="17">
        <f>ROUND(((B5/2)/365)*1000,2)</f>
        <v>149.319999999999993</v>
      </c>
    </row>
    <row r="6" spans="1:4">
      <c r="A6" s="4" t="n">
        <v>1989</v>
      </c>
      <c r="B6" s="18" t="n">
        <v>111</v>
      </c>
      <c r="C6" s="16">
        <f>ROUND((B4+B5+B6)/3,2)</f>
        <v>110.329999999999998</v>
      </c>
      <c r="D6" s="17">
        <f>ROUND(((B6/2)/365)*1000,2)</f>
        <v>152.050000000000011</v>
      </c>
    </row>
    <row r="7" spans="1:4">
      <c r="A7" s="4" t="n">
        <v>1990</v>
      </c>
      <c r="B7" s="18" t="n">
        <v>128</v>
      </c>
      <c r="C7" s="16">
        <f>ROUND((B5+B6+B7)/3,2)</f>
        <v>116</v>
      </c>
      <c r="D7" s="17">
        <f>ROUND(((B7/2)/365)*1000,2)</f>
        <v>175.340000000000003</v>
      </c>
    </row>
    <row r="8" spans="1:4">
      <c r="A8" s="4" t="n">
        <v>1991</v>
      </c>
      <c r="B8" s="18" t="n">
        <v>118</v>
      </c>
      <c r="C8" s="16">
        <f>ROUND((B6+B7+B8)/3,2)</f>
        <v>119</v>
      </c>
      <c r="D8" s="17">
        <f>ROUND(((B8/2)/365)*1000,2)</f>
        <v>161.639999999999986</v>
      </c>
    </row>
    <row r="9" spans="1:4">
      <c r="A9" s="4" t="n">
        <v>1992</v>
      </c>
      <c r="B9" s="18" t="n">
        <v>131</v>
      </c>
      <c r="C9" s="16">
        <f>ROUND((B7+B8+B9)/3,2)</f>
        <v>125.670000000000002</v>
      </c>
      <c r="D9" s="17">
        <f>ROUND(((B9/2)/365)*1000,2)</f>
        <v>179.449999999999989</v>
      </c>
    </row>
    <row r="10" spans="1:4">
      <c r="A10" s="4" t="n">
        <v>1993</v>
      </c>
      <c r="B10" s="18" t="n">
        <v>127</v>
      </c>
      <c r="C10" s="16">
        <f>ROUND((B8+B9+B10)/3,2)</f>
        <v>125.329999999999998</v>
      </c>
      <c r="D10" s="17">
        <f>ROUND(((B10/2)/365)*1000,2)</f>
        <v>173.969999999999999</v>
      </c>
    </row>
    <row r="11" spans="1:4">
      <c r="A11" s="4" t="n">
        <v>1994</v>
      </c>
      <c r="B11" s="18" t="n">
        <v>123</v>
      </c>
      <c r="C11" s="16">
        <f>ROUND((B9+B10+B11)/3,2)</f>
        <v>127</v>
      </c>
      <c r="D11" s="17">
        <f>ROUND(((B11/2)/365)*1000,2)</f>
        <v>168.490000000000009</v>
      </c>
    </row>
    <row r="12" spans="1:4">
      <c r="A12" s="4" t="n">
        <v>1995</v>
      </c>
      <c r="B12" s="18" t="n">
        <v>98</v>
      </c>
      <c r="C12" s="16">
        <f>ROUND((B10+B11+B12)/3,2)</f>
        <v>116</v>
      </c>
      <c r="D12" s="17">
        <f>ROUND(((B12/2)/365)*1000,2)</f>
        <v>134.25</v>
      </c>
    </row>
    <row r="13" spans="1:4">
      <c r="A13" s="4" t="n">
        <v>1996</v>
      </c>
      <c r="B13" s="18" t="n">
        <v>109</v>
      </c>
      <c r="C13" s="16">
        <f>ROUND((B11+B12+B13)/3,2)</f>
        <v>110</v>
      </c>
      <c r="D13" s="17">
        <f>ROUND(((B13/2)/365)*1000,2)</f>
        <v>149.319999999999993</v>
      </c>
    </row>
    <row r="14" spans="1:4">
      <c r="A14" s="4" t="n">
        <v>1997</v>
      </c>
      <c r="B14" s="18" t="n">
        <v>120</v>
      </c>
      <c r="C14" s="16">
        <f>ROUND((B12+B13+B14)/3,2)</f>
        <v>109</v>
      </c>
      <c r="D14" s="17">
        <f>ROUND(((B14/2)/365)*1000,2)</f>
        <v>164.379999999999995</v>
      </c>
    </row>
    <row r="15" spans="1:4">
      <c r="A15" s="4" t="n">
        <v>1998</v>
      </c>
      <c r="B15" s="18" t="n">
        <v>137</v>
      </c>
      <c r="C15" s="16">
        <f>ROUND((B13+B14+B15)/3,2)</f>
        <v>122</v>
      </c>
      <c r="D15" s="17">
        <f>ROUND(((B15/2)/365)*1000,2)</f>
        <v>187.669999999999987</v>
      </c>
    </row>
    <row r="16" spans="1:4">
      <c r="A16" s="4" t="n">
        <v>1999</v>
      </c>
      <c r="B16" s="18" t="n">
        <v>115</v>
      </c>
      <c r="C16" s="16">
        <f>ROUND((B14+B15+B16)/3,2)</f>
        <v>124</v>
      </c>
      <c r="D16" s="17">
        <f>ROUND(((B16/2)/365)*1000,2)</f>
        <v>157.530000000000001</v>
      </c>
    </row>
    <row r="17" spans="1:4">
      <c r="A17" s="4" t="n">
        <v>2000</v>
      </c>
      <c r="B17" s="18" t="n">
        <v>123</v>
      </c>
      <c r="C17" s="16">
        <f>ROUND((B15+B16+B17)/3,2)</f>
        <v>125</v>
      </c>
      <c r="D17" s="17">
        <f>ROUND(((B17/2)/365)*1000,2)</f>
        <v>168.490000000000009</v>
      </c>
    </row>
    <row r="18" spans="1:4">
      <c r="A18" s="4" t="n">
        <v>2001</v>
      </c>
      <c r="B18" s="18" t="n">
        <v>113</v>
      </c>
      <c r="C18" s="16">
        <f>ROUND((B16+B17+B18)/3,2)</f>
        <v>117</v>
      </c>
      <c r="D18" s="17">
        <f>ROUND(((B18/2)/365)*1000,2)</f>
        <v>154.789999999999992</v>
      </c>
    </row>
    <row r="19" spans="1:4">
      <c r="A19" s="4" t="n">
        <v>2002</v>
      </c>
      <c r="B19" s="18" t="n">
        <v>118</v>
      </c>
      <c r="C19" s="16">
        <f>ROUND((B17+B18+B19)/3,2)</f>
        <v>118</v>
      </c>
      <c r="D19" s="17">
        <f>ROUND(((B19/2)/365)*1000,2)</f>
        <v>161.639999999999986</v>
      </c>
    </row>
    <row r="20" spans="1:10">
      <c r="A20" s="4" t="n">
        <v>2003</v>
      </c>
      <c r="B20" s="18" t="n">
        <v>96</v>
      </c>
      <c r="C20" s="16">
        <f>ROUND((B18+B19+B20)/3,2)</f>
        <v>109</v>
      </c>
      <c r="D20" s="17">
        <f>ROUND(((B20/2)/365)*1000,2)</f>
        <v>131.509999999999991</v>
      </c>
      <c r="E20"/>
      <c r="F20"/>
      <c r="G20"/>
      <c r="H20"/>
      <c r="I20"/>
      <c r="J20" s="4"/>
    </row>
    <row r="21" spans="1:4">
      <c r="A21" s="4" t="n">
        <v>2004</v>
      </c>
      <c r="B21" s="18" t="n">
        <v>90</v>
      </c>
      <c r="C21" s="16">
        <f>ROUND((B19+B20+B21)/3,2)</f>
        <v>101.329999999999998</v>
      </c>
      <c r="D21" s="17">
        <f>ROUND(((B21/2)/365)*1000,2)</f>
        <v>123.290000000000006</v>
      </c>
    </row>
    <row r="22" spans="1:4">
      <c r="A22" s="4" t="n">
        <v>2005</v>
      </c>
      <c r="B22" s="18" t="n">
        <v>104</v>
      </c>
      <c r="C22" s="16">
        <f>ROUND((B20+B21+B22)/3,2)</f>
        <v>96.6700000000000017</v>
      </c>
      <c r="D22" s="17">
        <f>ROUND(((B22/2)/365)*1000,2)</f>
        <v>142.469999999999999</v>
      </c>
    </row>
    <row r="23" spans="1:4">
      <c r="A23" s="4" t="n">
        <v>2006</v>
      </c>
      <c r="B23" s="18" t="n">
        <v>95</v>
      </c>
      <c r="C23" s="16">
        <f>ROUND((B21+B22+B23)/3,2)</f>
        <v>96.3299999999999983</v>
      </c>
      <c r="D23" s="17">
        <f>ROUND(((B23/2)/365)*1000,2)</f>
        <v>130.139999999999986</v>
      </c>
    </row>
    <row r="24" spans="1:4">
      <c r="A24" s="4" t="n">
        <v>2007</v>
      </c>
      <c r="B24" s="18" t="n">
        <v>100</v>
      </c>
      <c r="C24" s="16">
        <f>ROUND((B22+B23+B24)/3,2)</f>
        <v>99.6700000000000017</v>
      </c>
      <c r="D24" s="17">
        <f>ROUND(((B24/2)/365)*1000,2)</f>
        <v>136.990000000000009</v>
      </c>
    </row>
    <row r="25" spans="1:4">
      <c r="A25" s="4" t="n">
        <v>2008</v>
      </c>
      <c r="B25" s="18" t="n">
        <v>97</v>
      </c>
      <c r="C25" s="16">
        <f>ROUND((B23+B24+B25)/3,2)</f>
        <v>97.3299999999999983</v>
      </c>
      <c r="D25" s="17">
        <f>ROUND(((B25/2)/365)*1000,2)</f>
        <v>132.879999999999995</v>
      </c>
    </row>
    <row r="26" spans="1:4">
      <c r="A26" s="4" t="n">
        <v>2009</v>
      </c>
      <c r="B26" s="18" t="n">
        <v>104</v>
      </c>
      <c r="C26" s="16">
        <f>ROUND((B24+B25+B26)/3,2)</f>
        <v>100.329999999999998</v>
      </c>
      <c r="D26" s="17">
        <f>ROUND(((B26/2)/365)*1000,2)</f>
        <v>142.469999999999999</v>
      </c>
    </row>
    <row r="27" spans="1:4">
      <c r="A27" s="4" t="n">
        <v>2010</v>
      </c>
      <c r="B27" s="18" t="n">
        <v>93</v>
      </c>
      <c r="C27" s="16">
        <f>ROUND((B25+B26+B27)/3,2)</f>
        <v>98</v>
      </c>
      <c r="D27" s="17">
        <f>ROUND(((B27/2)/365)*1000,2)</f>
        <v>127.400000000000006</v>
      </c>
    </row>
    <row r="28" spans="1:4">
      <c r="A28" s="4" t="n">
        <v>2011</v>
      </c>
      <c r="B28" s="18" t="n">
        <v>105</v>
      </c>
      <c r="C28" s="16">
        <f>ROUND((B26+B27+B28)/3,2)</f>
        <v>100.670000000000002</v>
      </c>
      <c r="D28" s="17">
        <f>ROUND(((B28/2)/365)*1000,2)</f>
        <v>143.840000000000003</v>
      </c>
    </row>
    <row r="29" spans="1:4">
      <c r="A29" s="4" t="n">
        <v>2012</v>
      </c>
      <c r="B29" s="18" t="n">
        <v>99</v>
      </c>
      <c r="C29" s="16">
        <f>ROUND((B27+B28+B29)/3,2)</f>
        <v>99</v>
      </c>
      <c r="D29" s="17">
        <f>ROUND(((B29/2)/365)*1000,2)</f>
        <v>135.620000000000005</v>
      </c>
    </row>
    <row r="30" spans="1:4">
      <c r="A30" s="4" t="n">
        <v>2013</v>
      </c>
      <c r="B30" s="18" t="n">
        <v>93</v>
      </c>
      <c r="C30" s="16">
        <f>ROUND((B28+B29+B30)/3,2)</f>
        <v>99</v>
      </c>
      <c r="D30" s="17">
        <f>ROUND(((B30/2)/365)*1000,2)</f>
        <v>127.400000000000006</v>
      </c>
    </row>
    <row r="31" spans="1:4">
      <c r="A31" s="4" t="n">
        <v>2014</v>
      </c>
      <c r="B31" s="18" t="n">
        <v>102</v>
      </c>
      <c r="C31" s="16">
        <f>ROUND((B29+B30+B31)/3,2)</f>
        <v>98</v>
      </c>
      <c r="D31" s="17">
        <f>ROUND(((B31/2)/365)*1000,2)</f>
        <v>139.72999999999999</v>
      </c>
    </row>
    <row r="32" spans="1:4">
      <c r="A32" s="4" t="n">
        <v>2015</v>
      </c>
      <c r="B32" s="18" t="n">
        <v>99</v>
      </c>
      <c r="C32" s="16">
        <f>ROUND((B30+B31+B32)/3,2)</f>
        <v>98</v>
      </c>
      <c r="D32" s="17">
        <f>ROUND(((B32/2)/365)*1000,2)</f>
        <v>135.620000000000005</v>
      </c>
    </row>
    <row r="33" spans="1:4">
      <c r="A33" s="4" t="n">
        <v>2016</v>
      </c>
      <c r="B33" s="18" t="n">
        <v>105</v>
      </c>
      <c r="C33" s="16">
        <f>ROUND((B31+B32+B33)/3,2)</f>
        <v>102</v>
      </c>
      <c r="D33" s="17">
        <f>ROUND(((B33/2)/365)*1000,2)</f>
        <v>143.840000000000003</v>
      </c>
    </row>
  </sheetData>
  <printOptions horizontalCentered="1" verticalCentered="1">
    <extLst>
      <ext uri="smNativeData">
        <pm:pageFlags xmlns:pm="smNativeData" id="1598996201" printRowHead="0" printColHead="0" printHeadLine="0" printFootLine="0" autoHeightHeader="0" autoHeightFooter="0" fitToPageBoth="0"/>
      </ext>
    </extLst>
  </printOptions>
  <pageMargins left="0.609722" right="0.590278" top="0.984028" bottom="0.984028" header="0.511806" footer="0.511806"/>
  <pageSetup paperSize="9" fitToWidth="0" fitToHeight="1" orientation="landscape"/>
  <headerFooter>
    <extLst>
      <ext uri="smNativeData">
        <pm:header xmlns:pm="smNativeData" id="1598996201" l="56" r="56" t="56" b="56" borderId="0" fillId="0" vertical="0"/>
        <pm:footer xmlns:pm="smNativeData" id="1598996201" l="56" r="56" t="56" b="56" borderId="0" fillId="0" vertical="2"/>
        <pm:paperBin xmlns:pm="smNativeData" id="1598996201" Id="0" type="0" value="0"/>
        <pm:paperBin xmlns:pm="smNativeData" id="1598996201" Id="1" type="0" value="0"/>
      </ext>
    </extLst>
  </headerFooter>
  <drawing r:id="rId1"/>
  <extLst>
    <ext uri="smNativeData">
      <pm:sheetPrefs xmlns:pm="smNativeData" day="159899620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M74"/>
  <sheetViews>
    <sheetView view="normal" workbookViewId="0">
      <selection activeCell="K30" sqref="K30"/>
    </sheetView>
  </sheetViews>
  <sheetFormatPr baseColWidth="9" defaultColWidth="10.330000" defaultRowHeight="13.45"/>
  <cols>
    <col min="1" max="1" width="10.660000" customWidth="1" style="0"/>
    <col min="2" max="2" width="8.500000" customWidth="1" style="0"/>
    <col min="3" max="3" width="10.500000" customWidth="1" style="0"/>
    <col min="4" max="4" width="10.160000" customWidth="1" style="0"/>
    <col min="5" max="5" width="6.330000" customWidth="1" style="0"/>
    <col min="6" max="6" width="7.000000" customWidth="1" style="0"/>
    <col min="7" max="7" width="10.330000" style="0"/>
    <col min="8" max="8" width="9.330000" customWidth="1" style="0"/>
    <col min="9" max="9" width="11.330000" customWidth="1" style="0"/>
    <col min="10" max="10" width="9.330000" customWidth="1" style="0"/>
    <col min="11" max="11" width="10.830000" customWidth="1" style="0"/>
    <col min="12" max="12" width="8.660000" customWidth="1" style="0"/>
    <col min="13" max="13" width="7.500000" customWidth="1" style="0"/>
    <col min="14" max="16384" width="10.330000" style="0"/>
  </cols>
  <sheetData>
    <row r="1" spans="1:13" ht="63" customHeight="1">
      <c r="A1" s="20" t="s">
        <v>8</v>
      </c>
      <c r="B1" s="20" t="s">
        <v>9</v>
      </c>
      <c r="C1" s="20" t="s">
        <v>10</v>
      </c>
      <c r="D1" s="20" t="s">
        <v>11</v>
      </c>
      <c r="E1" s="36" t="s">
        <v>12</v>
      </c>
      <c r="F1" s="36"/>
      <c r="G1" s="20" t="s">
        <v>13</v>
      </c>
      <c r="H1" s="20" t="s">
        <v>14</v>
      </c>
      <c r="I1" s="36" t="s">
        <v>15</v>
      </c>
      <c r="J1" s="36" t="s">
        <v>16</v>
      </c>
      <c r="K1" s="36" t="s">
        <v>17</v>
      </c>
      <c r="L1" s="36" t="s">
        <v>18</v>
      </c>
      <c r="M1" s="2" t="s">
        <v>0</v>
      </c>
    </row>
    <row r="2" spans="1:13">
      <c r="A2" s="20"/>
      <c r="B2" s="20"/>
      <c r="C2" s="20"/>
      <c r="D2" s="20"/>
      <c r="E2" s="11" t="s">
        <v>19</v>
      </c>
      <c r="F2" s="11" t="s">
        <v>20</v>
      </c>
      <c r="G2" s="20"/>
      <c r="H2" s="20"/>
      <c r="I2" s="37"/>
      <c r="J2" s="37"/>
      <c r="K2" s="37"/>
      <c r="L2" s="37"/>
      <c r="M2" s="2"/>
    </row>
    <row r="3" spans="1:13">
      <c r="A3" s="7" t="n">
        <v>32027</v>
      </c>
      <c r="B3" s="4" t="n">
        <v>2567</v>
      </c>
      <c r="C3" s="4" t="n">
        <v>388</v>
      </c>
      <c r="D3" s="10">
        <f>ROUND(B3/C3,2)</f>
        <v>6.62000000000000011</v>
      </c>
      <c r="E3" s="4" t="n">
        <v>250</v>
      </c>
      <c r="F3" s="4">
        <f>365-E3</f>
        <v>115</v>
      </c>
      <c r="G3" s="10">
        <f>SUM(E3*D3,F3*D4)/(E3+F3)</f>
        <v>6.65465753424657969</v>
      </c>
      <c r="H3" s="10"/>
      <c r="I3" s="12" t="n">
        <v>476.689999999999998</v>
      </c>
      <c r="J3" s="12">
        <f>I3/B3</f>
        <v>0.185699259836385</v>
      </c>
      <c r="K3" s="12">
        <f>(0.16*G3*E3)+(J3*G3*F3)</f>
        <v>408.299273905896996</v>
      </c>
      <c r="L3" s="12">
        <f>K3/12</f>
        <v>34.0249394921580972</v>
      </c>
      <c r="M3" s="8" t="n">
        <v>87</v>
      </c>
    </row>
    <row r="4" spans="1:13">
      <c r="A4" s="7" t="n">
        <v>32409</v>
      </c>
      <c r="B4" s="4" t="n">
        <v>2572</v>
      </c>
      <c r="C4" s="4" t="n">
        <v>382</v>
      </c>
      <c r="D4" s="10">
        <f>ROUND(B4/C4,2)</f>
        <v>6.73000000000000043</v>
      </c>
      <c r="E4" s="4">
        <f>C4-F3</f>
        <v>267</v>
      </c>
      <c r="F4" s="4">
        <f>366-E4</f>
        <v>99</v>
      </c>
      <c r="G4" s="10">
        <f>SUM(E4*D4,F4*D5)/(E4+F4)</f>
        <v>6.8436065573770497</v>
      </c>
      <c r="H4" s="10"/>
      <c r="I4" s="12" t="n">
        <v>387.779999999999973</v>
      </c>
      <c r="J4" s="12">
        <f>I4/B4</f>
        <v>0.150769828926905003</v>
      </c>
      <c r="K4" s="12">
        <f>(J3*G4*E4)+(J4*G4*F4)</f>
        <v>441.466793108445017</v>
      </c>
      <c r="L4" s="12">
        <f>K4/12</f>
        <v>36.7888994257037965</v>
      </c>
      <c r="M4" s="9" t="n">
        <v>88</v>
      </c>
    </row>
    <row r="5" spans="1:13">
      <c r="A5" s="7" t="n">
        <v>32808</v>
      </c>
      <c r="B5" s="4" t="n">
        <v>2853</v>
      </c>
      <c r="C5" s="4" t="n">
        <v>399</v>
      </c>
      <c r="D5" s="10">
        <f>ROUND(B5/C5,2)</f>
        <v>7.15000000000000036</v>
      </c>
      <c r="E5" s="4">
        <f>C5-F4</f>
        <v>300</v>
      </c>
      <c r="F5" s="4">
        <f>365-E5</f>
        <v>65</v>
      </c>
      <c r="G5" s="10">
        <f>SUM(E5*D5,F5*D6)/(E5+F5)</f>
        <v>7.31917808219177957</v>
      </c>
      <c r="H5" s="10">
        <f>ROUND((G3+G4+G5)/3,2)</f>
        <v>6.94000000000000039</v>
      </c>
      <c r="I5" s="12" t="n">
        <v>656.019999999999982</v>
      </c>
      <c r="J5" s="12">
        <f>I5/B5</f>
        <v>0.229940413599720017</v>
      </c>
      <c r="K5" s="12">
        <f>(J4*G5*E5)+(J5*G5*F5)</f>
        <v>440.446732504179977</v>
      </c>
      <c r="L5" s="12">
        <f>K5/12</f>
        <v>36.7038943753482982</v>
      </c>
      <c r="M5" s="8" t="n">
        <v>89</v>
      </c>
    </row>
    <row r="6" spans="1:13">
      <c r="A6" s="7" t="n">
        <v>33192</v>
      </c>
      <c r="B6" s="4" t="n">
        <v>3112</v>
      </c>
      <c r="C6" s="4" t="n">
        <v>384</v>
      </c>
      <c r="D6" s="10">
        <f>ROUND(B6/C6,2)</f>
        <v>8.09999999999999964</v>
      </c>
      <c r="E6" s="4">
        <f>C6-F5</f>
        <v>319</v>
      </c>
      <c r="F6" s="4">
        <f>365-E6</f>
        <v>46</v>
      </c>
      <c r="G6" s="10">
        <f>SUM(E6*D6,F6*D7)/(E6+F6)</f>
        <v>8.14158904109589088</v>
      </c>
      <c r="H6" s="10">
        <f>ROUND((G4+G5+G6)/3,2)</f>
        <v>7.42999999999999972</v>
      </c>
      <c r="I6" s="12" t="n">
        <v>920.279999999999973</v>
      </c>
      <c r="J6" s="12">
        <f>I6/B6</f>
        <v>0.295719794344472966</v>
      </c>
      <c r="K6" s="12">
        <f>(J5*G6*E6)+(J6*G6*F6)</f>
        <v>707.944567814487982</v>
      </c>
      <c r="L6" s="12">
        <f>K6/12</f>
        <v>58.9953806512072987</v>
      </c>
      <c r="M6" s="8" t="n">
        <v>90</v>
      </c>
    </row>
    <row r="7" spans="1:13">
      <c r="A7" s="7" t="n">
        <v>33556</v>
      </c>
      <c r="B7" s="4" t="n">
        <v>3067</v>
      </c>
      <c r="C7" s="4" t="n">
        <v>364</v>
      </c>
      <c r="D7" s="10">
        <f>ROUND(B7/C7,2)</f>
        <v>8.42999999999999972</v>
      </c>
      <c r="E7" s="4">
        <f>C7-F6</f>
        <v>318</v>
      </c>
      <c r="F7" s="4">
        <f>365-E7</f>
        <v>47</v>
      </c>
      <c r="G7" s="10">
        <f>SUM(E7*D7,F7*D8)/(E7+F7)</f>
        <v>8.34758904109589039</v>
      </c>
      <c r="H7" s="10">
        <f>ROUND((G5+G6+G7)/3,2)</f>
        <v>7.94000000000000039</v>
      </c>
      <c r="I7" s="12" t="n">
        <v>792.720000000000027</v>
      </c>
      <c r="J7" s="12">
        <f>I7/B7</f>
        <v>0.258467557874143994</v>
      </c>
      <c r="K7" s="12">
        <f>(J6*G7*E7)+(J7*G7*F7)</f>
        <v>886.404350831290003</v>
      </c>
      <c r="L7" s="12">
        <f>K7/12</f>
        <v>73.8670292359408052</v>
      </c>
      <c r="M7" s="8" t="n">
        <v>91</v>
      </c>
    </row>
    <row r="8" spans="1:13">
      <c r="A8" s="7" t="n">
        <v>33892</v>
      </c>
      <c r="B8" s="4" t="n">
        <v>2617</v>
      </c>
      <c r="C8" s="4" t="n">
        <v>336</v>
      </c>
      <c r="D8" s="10">
        <f>ROUND(B8/C8,2)</f>
        <v>7.79000000000000004</v>
      </c>
      <c r="E8" s="4">
        <f>C8-F7</f>
        <v>289</v>
      </c>
      <c r="F8" s="4">
        <f>366-E8</f>
        <v>77</v>
      </c>
      <c r="G8" s="10">
        <f>SUM(E8*D8,F8*D9)/(E8+F8)</f>
        <v>7.91412568306011011</v>
      </c>
      <c r="H8" s="10">
        <f>ROUND((G6+G7+G8)/3,2)</f>
        <v>8.13000000000000078</v>
      </c>
      <c r="I8" s="12" t="n">
        <v>545.389999999999986</v>
      </c>
      <c r="J8" s="12">
        <f>I8/B8</f>
        <v>0.208402751241880013</v>
      </c>
      <c r="K8" s="12">
        <f>(J7*G8*E8)+(J8*G8*F8)</f>
        <v>718.160497868601055</v>
      </c>
      <c r="L8" s="12">
        <f>K8/12</f>
        <v>59.8467081557167973</v>
      </c>
      <c r="M8" s="9" t="n">
        <v>92</v>
      </c>
    </row>
    <row r="9" spans="1:13">
      <c r="A9" s="7" t="n">
        <v>34246</v>
      </c>
      <c r="B9" s="4" t="n">
        <v>2966</v>
      </c>
      <c r="C9" s="4" t="n">
        <v>354</v>
      </c>
      <c r="D9" s="10">
        <f>ROUND(B9/C9,2)</f>
        <v>8.38000000000000078</v>
      </c>
      <c r="E9" s="4">
        <f>C9-F8</f>
        <v>277</v>
      </c>
      <c r="F9" s="4">
        <f>365-E9</f>
        <v>88</v>
      </c>
      <c r="G9" s="10">
        <f>SUM(E9*D9,F9*D10)/(E9+F9)</f>
        <v>8.46920547945206081</v>
      </c>
      <c r="H9" s="10">
        <f>ROUND((G7+G8+G9)/3,2)</f>
        <v>8.24000000000000021</v>
      </c>
      <c r="I9" s="12" t="n">
        <v>623.539999999999964</v>
      </c>
      <c r="J9" s="12">
        <f>I9/B9</f>
        <v>0.210229265003372001</v>
      </c>
      <c r="K9" s="12">
        <f>(J8*G9*E9)+(J9*G9*F9)</f>
        <v>645.588371395402987</v>
      </c>
      <c r="L9" s="12">
        <f>K9/12</f>
        <v>53.799030949616899</v>
      </c>
      <c r="M9" s="8" t="n">
        <v>93</v>
      </c>
    </row>
    <row r="10" spans="1:13">
      <c r="A10" s="7" t="n">
        <v>34605</v>
      </c>
      <c r="B10" s="4" t="n">
        <v>3143</v>
      </c>
      <c r="C10" s="4" t="n">
        <v>359</v>
      </c>
      <c r="D10" s="10">
        <f>ROUND(B10/C10,2)</f>
        <v>8.75</v>
      </c>
      <c r="E10" s="4">
        <f>C10-F9</f>
        <v>271</v>
      </c>
      <c r="F10" s="4">
        <f>365-E10</f>
        <v>94</v>
      </c>
      <c r="G10" s="10">
        <f>SUM(E10*D10,F10*D11)/(E10+F10)</f>
        <v>8.35597260273972964</v>
      </c>
      <c r="H10" s="10">
        <f>ROUND((G8+G9+G10)/3,2)</f>
        <v>8.25</v>
      </c>
      <c r="I10" s="12" t="n">
        <v>581.389999999999986</v>
      </c>
      <c r="J10" s="12">
        <f>I10/B10</f>
        <v>0.184979319121858019</v>
      </c>
      <c r="K10" s="12">
        <f>(J9*G10*E10)+(J10*G10*F10)</f>
        <v>621.351683747117022</v>
      </c>
      <c r="L10" s="12">
        <f>K10/12</f>
        <v>51.7793069789263996</v>
      </c>
      <c r="M10" s="8" t="n">
        <v>94</v>
      </c>
    </row>
    <row r="11" spans="1:13">
      <c r="A11" s="7" t="n">
        <v>34999</v>
      </c>
      <c r="B11" s="4" t="n">
        <v>2845</v>
      </c>
      <c r="C11" s="4" t="n">
        <v>394</v>
      </c>
      <c r="D11" s="10">
        <f>ROUND(B11/C11,2)</f>
        <v>7.21999999999999975</v>
      </c>
      <c r="E11" s="4">
        <f>C11-F10</f>
        <v>300</v>
      </c>
      <c r="F11" s="4">
        <f>365-E11</f>
        <v>65</v>
      </c>
      <c r="G11" s="10">
        <f>SUM(E11*D11,F11*D12)/(E11+F11)</f>
        <v>7.5619178082191798</v>
      </c>
      <c r="H11" s="10">
        <f>ROUND((G9+G10+G11)/3,2)</f>
        <v>8.13000000000000078</v>
      </c>
      <c r="I11" s="12" t="n">
        <v>497.860000000000014</v>
      </c>
      <c r="J11" s="12">
        <f>I11/B11</f>
        <v>0.174994727592267001</v>
      </c>
      <c r="K11" s="12">
        <f>(J10*G11*E11)+(J11*G11*F11)</f>
        <v>505.653745776040012</v>
      </c>
      <c r="L11" s="12">
        <f>K11/12</f>
        <v>42.1378121480032988</v>
      </c>
      <c r="M11" s="8" t="n">
        <v>95</v>
      </c>
    </row>
    <row r="12" spans="1:13">
      <c r="A12" s="7" t="n">
        <v>35368</v>
      </c>
      <c r="B12" s="4" t="n">
        <v>3371</v>
      </c>
      <c r="C12" s="4" t="n">
        <v>369</v>
      </c>
      <c r="D12" s="10">
        <f>ROUND(B12/C12,2)</f>
        <v>9.14000000000000057</v>
      </c>
      <c r="E12" s="4">
        <f>C12-F11</f>
        <v>304</v>
      </c>
      <c r="F12" s="4">
        <f>366-E12</f>
        <v>62</v>
      </c>
      <c r="G12" s="10">
        <f>SUM(E12*D12,F12*D13)/(E12+F12)</f>
        <v>8.87234972677596012</v>
      </c>
      <c r="H12" s="10">
        <f>ROUND((G10+G11+G12)/3,2)</f>
        <v>8.25999999999999979</v>
      </c>
      <c r="I12" s="12" t="n">
        <v>861.120000000000005</v>
      </c>
      <c r="J12" s="12">
        <f>I12/B12</f>
        <v>0.255449421536636034</v>
      </c>
      <c r="K12" s="12">
        <f>(J11*G12*E12)+(J12*G12*F12)</f>
        <v>612.513854289595997</v>
      </c>
      <c r="L12" s="12">
        <f>K12/12</f>
        <v>51.0428211907996996</v>
      </c>
      <c r="M12" s="9" t="n">
        <v>96</v>
      </c>
    </row>
    <row r="13" spans="1:13">
      <c r="A13" s="7" t="n">
        <v>35762</v>
      </c>
      <c r="B13" s="4" t="n">
        <v>2978</v>
      </c>
      <c r="C13" s="4" t="n">
        <v>394</v>
      </c>
      <c r="D13" s="10">
        <f>ROUND(B13/C13,2)</f>
        <v>7.55999999999999961</v>
      </c>
      <c r="E13" s="4">
        <f>C13-F12</f>
        <v>332</v>
      </c>
      <c r="F13" s="4">
        <f>365-E13</f>
        <v>33</v>
      </c>
      <c r="G13" s="10">
        <f>SUM(E13*D13,F13*D14)/(E13+F13)</f>
        <v>7.61424657534247018</v>
      </c>
      <c r="H13" s="10">
        <f>ROUND((G11+G12+G13)/3,2)</f>
        <v>8.01999999999999957</v>
      </c>
      <c r="I13" s="12" t="n">
        <v>696.019999999999982</v>
      </c>
      <c r="J13" s="12">
        <f>I13/B13</f>
        <v>0.233720617864338998</v>
      </c>
      <c r="K13" s="12">
        <f>(J12*G13*E13)+(J13*G13*F13)</f>
        <v>704.485232859335042</v>
      </c>
      <c r="L13" s="12">
        <f>K13/12</f>
        <v>58.7071027382778965</v>
      </c>
      <c r="M13" s="8" t="n">
        <v>97</v>
      </c>
    </row>
    <row r="14" spans="1:13">
      <c r="A14" s="7" t="n">
        <v>36049</v>
      </c>
      <c r="B14" s="4" t="n">
        <v>2341</v>
      </c>
      <c r="C14" s="4" t="n">
        <v>287</v>
      </c>
      <c r="D14" s="10">
        <f>ROUND(B14/C14,2)</f>
        <v>8.16000000000000014</v>
      </c>
      <c r="E14" s="4">
        <f>C14-F13</f>
        <v>254</v>
      </c>
      <c r="F14" s="4">
        <f>365-E14</f>
        <v>111</v>
      </c>
      <c r="G14" s="10">
        <f>SUM(E14*D14,F14*D15)/(E14+F14)</f>
        <v>7.89238356164383958</v>
      </c>
      <c r="H14" s="10">
        <f>ROUND((G12+G13+G14)/3,2)</f>
        <v>8.13000000000000078</v>
      </c>
      <c r="I14" s="12" t="n">
        <v>440.95999999999998</v>
      </c>
      <c r="J14" s="12">
        <f>I14/B14</f>
        <v>0.188363947031182999</v>
      </c>
      <c r="K14" s="12">
        <f>(J13*G14*E14)+(J14*G14*F14)</f>
        <v>633.548739288470983</v>
      </c>
      <c r="L14" s="12">
        <f>K14/12</f>
        <v>52.7957282740392984</v>
      </c>
      <c r="M14" s="8" t="n">
        <v>98</v>
      </c>
    </row>
    <row r="15" spans="1:13">
      <c r="A15" s="7" t="n">
        <v>36437</v>
      </c>
      <c r="B15" s="4" t="n">
        <v>2826</v>
      </c>
      <c r="C15" s="4" t="n">
        <v>388</v>
      </c>
      <c r="D15" s="10">
        <f>ROUND(B15/C15,2)</f>
        <v>7.28000000000000025</v>
      </c>
      <c r="E15" s="4">
        <f>C15-F14</f>
        <v>277</v>
      </c>
      <c r="F15" s="4">
        <f>365-E15</f>
        <v>88</v>
      </c>
      <c r="G15" s="10">
        <f>SUM(E15*D15,F15*D16)/(E15+F15)</f>
        <v>7.25106849315069013</v>
      </c>
      <c r="H15" s="10">
        <f>ROUND((G13+G14+G15)/3,2)</f>
        <v>7.58999999999999986</v>
      </c>
      <c r="I15" s="12" t="n">
        <v>790.110000000000014</v>
      </c>
      <c r="J15" s="12">
        <f>I15/B15</f>
        <v>0.279585987261146984</v>
      </c>
      <c r="K15" s="12">
        <f>(J14*G15*E15)+(J15*G15*F15)</f>
        <v>556.739795808343956</v>
      </c>
      <c r="L15" s="12">
        <f>K15/12</f>
        <v>46.3949829840287009</v>
      </c>
      <c r="M15" s="8" t="n">
        <v>99</v>
      </c>
    </row>
    <row r="16" spans="1:13">
      <c r="A16" s="7" t="n">
        <v>36857</v>
      </c>
      <c r="B16" s="4" t="n">
        <v>3008</v>
      </c>
      <c r="C16" s="4" t="n">
        <v>420</v>
      </c>
      <c r="D16" s="10">
        <f>ROUND(B16/C16,2)</f>
        <v>7.16000000000000014</v>
      </c>
      <c r="E16" s="4">
        <f>C16-F15</f>
        <v>332</v>
      </c>
      <c r="F16" s="4">
        <f>366-E16</f>
        <v>34</v>
      </c>
      <c r="G16" s="10">
        <f>SUM(E16*D16,F16*D17)/(E16+F16)</f>
        <v>7.18786885245901974</v>
      </c>
      <c r="H16" s="10">
        <f>ROUND((G14+G15+G16)/3,2)</f>
        <v>7.44000000000000039</v>
      </c>
      <c r="I16" s="12" t="n">
        <v>1459.25999999999999</v>
      </c>
      <c r="J16" s="12">
        <f>I16/B16</f>
        <v>0.485126329787234045</v>
      </c>
      <c r="K16" s="12">
        <f>(J15*G16*E16)+(J16*G16*F16)</f>
        <v>785.755130730012979</v>
      </c>
      <c r="L16" s="12">
        <f>K16/12</f>
        <v>65.4795942275010958</v>
      </c>
      <c r="M16" s="9" t="s">
        <v>21</v>
      </c>
    </row>
    <row r="17" spans="1:13">
      <c r="A17" s="7" t="n">
        <v>37245</v>
      </c>
      <c r="B17" s="4" t="n">
        <v>2894</v>
      </c>
      <c r="C17" s="4" t="n">
        <v>388</v>
      </c>
      <c r="D17" s="10">
        <f>ROUND(B17/C17,2)</f>
        <v>7.45999999999999996</v>
      </c>
      <c r="E17" s="4">
        <f>C17-F16</f>
        <v>354</v>
      </c>
      <c r="F17" s="4">
        <f>365-E17</f>
        <v>11</v>
      </c>
      <c r="G17" s="10">
        <f>SUM(E17*D17,F17*D18)/(E17+F17)</f>
        <v>7.47446575342465991</v>
      </c>
      <c r="H17" s="10">
        <f>ROUND((G15+G16+G17)/3,2)</f>
        <v>7.29999999999999982</v>
      </c>
      <c r="I17" s="12" t="n">
        <v>846.830000000000041</v>
      </c>
      <c r="J17" s="12">
        <f>I17/B17</f>
        <v>0.292615756738078971</v>
      </c>
      <c r="K17" s="12">
        <f>(J16*G17*E17)+(J17*G17*F17)</f>
        <v>1307.68389985923</v>
      </c>
      <c r="L17" s="12">
        <f>K17/12</f>
        <v>108.973658321602997</v>
      </c>
      <c r="M17" s="8" t="s">
        <v>22</v>
      </c>
    </row>
    <row r="18" spans="1:13">
      <c r="A18" s="4"/>
      <c r="B18" s="4"/>
      <c r="C18" s="4"/>
      <c r="D18" s="10" t="n">
        <v>7.94000000000000039</v>
      </c>
      <c r="E18" s="4" t="n">
        <v>365</v>
      </c>
      <c r="F18" s="4">
        <f>365-E18</f>
        <v>0</v>
      </c>
      <c r="G18" s="10">
        <f>SUM(E18*D18,F18*D19)/(E18+F18)</f>
        <v>7.94000000000000039</v>
      </c>
      <c r="H18" s="10">
        <f>ROUND((G16+G17+G18)/3,2)</f>
        <v>7.53000000000000025</v>
      </c>
      <c r="I18" s="12"/>
      <c r="J18" s="12"/>
      <c r="K18" s="12">
        <f>(J17*G18*E18)+(J18*G18*F18)</f>
        <v>848.029724602627994</v>
      </c>
      <c r="L18" s="12">
        <f>K18/12</f>
        <v>70.6691437168856993</v>
      </c>
      <c r="M18" s="8" t="s">
        <v>23</v>
      </c>
    </row>
    <row r="19" spans="1:13">
      <c r="A19" s="7" t="n">
        <v>37642</v>
      </c>
      <c r="B19" s="4" t="n">
        <v>3153</v>
      </c>
      <c r="C19" s="4" t="n">
        <v>397</v>
      </c>
      <c r="D19" s="10">
        <f>ROUND(B19/C19,2)</f>
        <v>7.94000000000000039</v>
      </c>
      <c r="E19" s="4">
        <f>C19-(F17+E18)</f>
        <v>21</v>
      </c>
      <c r="F19" s="4">
        <f>365-E19</f>
        <v>344</v>
      </c>
      <c r="G19" s="10">
        <f>SUM(E19*D19,F19*D20)/(E19+F19)</f>
        <v>7.46876712328766956</v>
      </c>
      <c r="H19" s="10">
        <f>ROUND((G17+G18+G19)/3,2)</f>
        <v>7.62999999999999989</v>
      </c>
      <c r="I19" s="12" t="n">
        <v>1152.1099999999999</v>
      </c>
      <c r="J19" s="12">
        <f>I19/B19</f>
        <v>0.365401205201396007</v>
      </c>
      <c r="K19" s="12">
        <f>(J17*G19*E19)+(J19*G19*F19)</f>
        <v>984.704256644258976</v>
      </c>
      <c r="L19" s="12">
        <f>K19/12</f>
        <v>82.0586880536883001</v>
      </c>
      <c r="M19" s="8" t="s">
        <v>24</v>
      </c>
    </row>
    <row r="20" spans="1:13">
      <c r="A20" s="7" t="n">
        <v>38107</v>
      </c>
      <c r="B20" s="4" t="n">
        <v>3458</v>
      </c>
      <c r="C20" s="4" t="n">
        <v>465</v>
      </c>
      <c r="D20" s="10">
        <f>ROUND(B20/C20,2)</f>
        <v>7.44000000000000039</v>
      </c>
      <c r="E20" s="4">
        <f>C20-F19</f>
        <v>121</v>
      </c>
      <c r="F20" s="4">
        <f>366-E20</f>
        <v>245</v>
      </c>
      <c r="G20" s="10">
        <f>SUM(E20*D20,F20*D21)/(E20+F20)</f>
        <v>6.07442622950819988</v>
      </c>
      <c r="H20" s="10">
        <f>ROUND((G18+G19+G20)/3,2)</f>
        <v>7.16000000000000014</v>
      </c>
      <c r="I20" s="12" t="n">
        <v>1227.45000000000005</v>
      </c>
      <c r="J20" s="12">
        <f>I20/B20</f>
        <v>0.354959514170041013</v>
      </c>
      <c r="K20" s="12">
        <f>(J19*G20*E20)+(J20*G20*F20)</f>
        <v>796.834891391039946</v>
      </c>
      <c r="L20" s="12">
        <f>K20/12</f>
        <v>66.4029076159200002</v>
      </c>
      <c r="M20" s="9" t="s">
        <v>25</v>
      </c>
    </row>
    <row r="21" spans="1:13">
      <c r="A21" s="7" t="n">
        <v>38686</v>
      </c>
      <c r="B21" s="4" t="n">
        <v>3124</v>
      </c>
      <c r="C21" s="4" t="n">
        <v>579</v>
      </c>
      <c r="D21" s="10">
        <f>ROUND(B21/C21,2)</f>
        <v>5.40000000000000036</v>
      </c>
      <c r="E21" s="4">
        <f>C21-F20</f>
        <v>334</v>
      </c>
      <c r="F21" s="4">
        <f>365-E21</f>
        <v>31</v>
      </c>
      <c r="G21" s="10">
        <f>SUM(E21*D21,F21*D22)/(E21+F21)</f>
        <v>5.51805479452055003</v>
      </c>
      <c r="H21" s="10">
        <f>ROUND((G19+G20+G21)/3,2)</f>
        <v>6.34999999999999964</v>
      </c>
      <c r="I21" s="12" t="n">
        <v>1688.70000000000005</v>
      </c>
      <c r="J21" s="12">
        <f>I21/B21</f>
        <v>0.540556978233034968</v>
      </c>
      <c r="K21" s="12">
        <f>(J20*G21*E21)+(J21*G21*F21)</f>
        <v>746.66865416387202</v>
      </c>
      <c r="L21" s="12">
        <f>K21/12</f>
        <v>62.2223878469892995</v>
      </c>
      <c r="M21" s="8" t="s">
        <v>26</v>
      </c>
    </row>
    <row r="22" spans="1:13">
      <c r="A22" s="7"/>
      <c r="B22" s="4"/>
      <c r="C22" s="4"/>
      <c r="D22" s="10" t="n">
        <v>6.79000000000000004</v>
      </c>
      <c r="E22" s="4" t="n">
        <v>365</v>
      </c>
      <c r="F22" s="4">
        <f>365-E22</f>
        <v>0</v>
      </c>
      <c r="G22" s="10">
        <f>SUM(E22*D22,F22*D23)/(E22+F22)</f>
        <v>6.79000000000000004</v>
      </c>
      <c r="H22" s="10">
        <f>ROUND((G20+G21+G22)/3,2)</f>
        <v>6.12999999999999989</v>
      </c>
      <c r="I22" s="12"/>
      <c r="J22" s="12"/>
      <c r="K22" s="12">
        <f>(J21*G22*E22)+(J22*G22*F22)</f>
        <v>1339.68938700384001</v>
      </c>
      <c r="L22" s="12">
        <f>K22/12</f>
        <v>111.640782250320001</v>
      </c>
      <c r="M22" s="8" t="s">
        <v>27</v>
      </c>
    </row>
    <row r="23" spans="1:13">
      <c r="A23" s="7" t="n">
        <v>39136</v>
      </c>
      <c r="B23" s="4" t="n">
        <v>3055</v>
      </c>
      <c r="C23" s="4" t="n">
        <v>450</v>
      </c>
      <c r="D23" s="10">
        <f>ROUND(B23/C23,2)</f>
        <v>6.79000000000000004</v>
      </c>
      <c r="E23" s="4">
        <f>C23-E22-F21</f>
        <v>54</v>
      </c>
      <c r="F23" s="4">
        <f>365-E23</f>
        <v>311</v>
      </c>
      <c r="G23" s="10">
        <f>SUM(E23*D23,F23*D24)/(E23+F23)</f>
        <v>5.3074246575342503</v>
      </c>
      <c r="H23" s="10">
        <f>ROUND((G21+G22+G23)/3,2)</f>
        <v>5.87000000000000011</v>
      </c>
      <c r="I23" s="12" t="n">
        <v>1577.78999999999996</v>
      </c>
      <c r="J23" s="12">
        <f>I23/B23</f>
        <v>0.516461538461538971</v>
      </c>
      <c r="K23" s="12">
        <f>(J21*G23*E23)+(J23*G23*F23)</f>
        <v>1007.40023240666005</v>
      </c>
      <c r="L23" s="12">
        <f>K23/12</f>
        <v>83.9500193672216994</v>
      </c>
      <c r="M23" s="8" t="s">
        <v>28</v>
      </c>
    </row>
    <row r="24" spans="1:13">
      <c r="A24" s="7" t="n">
        <v>39795</v>
      </c>
      <c r="B24" s="4" t="n">
        <v>3325</v>
      </c>
      <c r="C24" s="4" t="n">
        <v>659</v>
      </c>
      <c r="D24" s="10">
        <f>ROUND(B24/C24,2)</f>
        <v>5.04999999999999982</v>
      </c>
      <c r="E24" s="4">
        <f>C24-F23</f>
        <v>348</v>
      </c>
      <c r="F24" s="4">
        <f>366-E24</f>
        <v>18</v>
      </c>
      <c r="G24" s="10">
        <f>SUM(E24*D24,F24*D25)/(E24+F24)</f>
        <v>5.10114754098361001</v>
      </c>
      <c r="H24" s="10">
        <f>ROUND((G22+G23+G24)/3,2)</f>
        <v>5.73000000000000043</v>
      </c>
      <c r="I24" s="12" t="n">
        <v>1934.8599999999999</v>
      </c>
      <c r="J24" s="12">
        <f>I24/B24</f>
        <v>0.581912781954887048</v>
      </c>
      <c r="K24" s="12">
        <f>(J23*G24*E24)+(J24*G24*F24)</f>
        <v>970.253797634870011</v>
      </c>
      <c r="L24" s="12">
        <f>K24/12</f>
        <v>80.854483136239196</v>
      </c>
      <c r="M24" s="9" t="s">
        <v>29</v>
      </c>
    </row>
    <row r="25" spans="1:13">
      <c r="A25" s="7"/>
      <c r="B25" s="4"/>
      <c r="C25" s="4"/>
      <c r="D25" s="10" t="n">
        <v>6.08999999999999986</v>
      </c>
      <c r="E25" s="4" t="n">
        <v>365</v>
      </c>
      <c r="F25" s="4" t="n">
        <v>0</v>
      </c>
      <c r="G25" s="10">
        <f>SUM(E25*D25,F25*D26)/(E25+F25)</f>
        <v>6.08999999999999986</v>
      </c>
      <c r="H25" s="10">
        <f>ROUND((G23+G24+G25)/3,2)</f>
        <v>5.5</v>
      </c>
      <c r="J25" s="12"/>
      <c r="K25" s="12">
        <f>(J24*G25*E25)+(J25*G25*F25)</f>
        <v>1293.50482736841991</v>
      </c>
      <c r="L25" s="12">
        <f>K25/12</f>
        <v>107.792068947367994</v>
      </c>
      <c r="M25" s="8" t="s">
        <v>30</v>
      </c>
    </row>
    <row r="26" spans="1:13">
      <c r="A26" s="7" t="n">
        <v>40359</v>
      </c>
      <c r="B26" s="4" t="n">
        <v>3436</v>
      </c>
      <c r="C26" s="4" t="n">
        <v>564</v>
      </c>
      <c r="D26" s="10">
        <f>ROUND(B26/C26,2)</f>
        <v>6.08999999999999986</v>
      </c>
      <c r="E26" s="4" t="n">
        <v>181</v>
      </c>
      <c r="F26" s="4">
        <f>365-E26</f>
        <v>184</v>
      </c>
      <c r="G26" s="10">
        <f>SUM(E26*D26,F26*D28)/(E26+F26)</f>
        <v>5.74720547945206039</v>
      </c>
      <c r="H26" s="10">
        <f>ROUND((G24+G25+G26)/3,2)</f>
        <v>5.65000000000000036</v>
      </c>
      <c r="I26" s="12" t="n">
        <v>2346.98999999999978</v>
      </c>
      <c r="J26" s="12">
        <f>I26/B26</f>
        <v>0.683058789289871982</v>
      </c>
      <c r="K26" s="12">
        <f>(J24*G26*E26)+(J26*G26*F26)</f>
        <v>1327.65636740501009</v>
      </c>
      <c r="L26" s="12">
        <f>K26/12</f>
        <v>110.638030617083999</v>
      </c>
      <c r="M26" s="8" t="s">
        <v>31</v>
      </c>
    </row>
    <row r="27" spans="1:13">
      <c r="A27" s="7"/>
      <c r="B27" s="4"/>
      <c r="C27" s="4"/>
      <c r="D27" s="10" t="n">
        <v>5.41000000000000014</v>
      </c>
      <c r="E27" s="4" t="n">
        <v>365</v>
      </c>
      <c r="F27" s="4">
        <f>365-E27</f>
        <v>0</v>
      </c>
      <c r="G27" s="10">
        <f>SUM(E27*D27,F27*D28)/(E27+F27)</f>
        <v>5.41000000000000014</v>
      </c>
      <c r="H27" s="10">
        <f>ROUND((G25+G26+G27)/3,2)</f>
        <v>5.75</v>
      </c>
      <c r="I27" s="12"/>
      <c r="J27" s="12" t="n">
        <v>0.68000000000000016</v>
      </c>
      <c r="K27" s="12">
        <f>(J26*G27*E27)+(J27*G27*F27)</f>
        <v>1348.80203827125001</v>
      </c>
      <c r="L27" s="12">
        <f>K27/12</f>
        <v>112.400169855938003</v>
      </c>
      <c r="M27" s="8" t="s">
        <v>32</v>
      </c>
    </row>
    <row r="28" spans="1:13">
      <c r="A28" s="7" t="n">
        <v>40911</v>
      </c>
      <c r="B28" s="4" t="n">
        <v>2988</v>
      </c>
      <c r="C28" s="4" t="n">
        <v>552</v>
      </c>
      <c r="D28" s="10">
        <f>ROUND(B28/C28,2)</f>
        <v>5.41000000000000014</v>
      </c>
      <c r="E28" s="4" t="n">
        <v>3</v>
      </c>
      <c r="F28" s="4">
        <f>365-E28</f>
        <v>362</v>
      </c>
      <c r="G28" s="10">
        <f>SUM(E28*D28,F28*D29)/(E28+F28)</f>
        <v>5.57860273972602982</v>
      </c>
      <c r="H28" s="10">
        <f>ROUND((G26+G27+G28)/3,2)</f>
        <v>5.58000000000000007</v>
      </c>
      <c r="I28" s="12" t="n">
        <v>2528.15000000000009</v>
      </c>
      <c r="J28" s="12">
        <f>I28/B28</f>
        <v>0.846101070950469136</v>
      </c>
      <c r="K28" s="12">
        <f>(J26*G28*E28)+(J28*G28*F28)</f>
        <v>1720.09389530115004</v>
      </c>
      <c r="L28" s="12">
        <f>K28/12</f>
        <v>143.341157941762987</v>
      </c>
      <c r="M28" s="9" t="s">
        <v>33</v>
      </c>
    </row>
    <row r="29" spans="1:13">
      <c r="A29" s="7" t="n">
        <v>41464</v>
      </c>
      <c r="B29" s="4" t="n">
        <v>3100</v>
      </c>
      <c r="C29" s="4" t="n">
        <v>556</v>
      </c>
      <c r="D29" s="10">
        <f>ROUND(B29/C29,2)</f>
        <v>5.58000000000000007</v>
      </c>
      <c r="E29" s="4">
        <f>C29-F28</f>
        <v>194</v>
      </c>
      <c r="F29" s="4">
        <f>365-E29</f>
        <v>171</v>
      </c>
      <c r="G29" s="10">
        <f>SUM(E29*D29,F29*D30)/(E29+F29)</f>
        <v>5.58000000000000007</v>
      </c>
      <c r="H29" s="10">
        <f>ROUND((G27+G28+G29)/3,2)</f>
        <v>5.51999999999999957</v>
      </c>
      <c r="I29" s="12" t="n">
        <v>2583.92000000000007</v>
      </c>
      <c r="J29" s="12">
        <f>I29/B29</f>
        <v>0.833522580645161071</v>
      </c>
      <c r="K29" s="12">
        <f>(J28*G29*E29)+(J29*G29*F29)</f>
        <v>1711.25190732529995</v>
      </c>
      <c r="L29" s="12">
        <f>K29/12</f>
        <v>142.604325610442004</v>
      </c>
      <c r="M29" s="8" t="s">
        <v>34</v>
      </c>
    </row>
    <row r="30" spans="1:13">
      <c r="A30" s="7"/>
      <c r="B30" s="4"/>
      <c r="C30" s="4"/>
      <c r="D30" s="10" t="n">
        <v>5.58000000000000007</v>
      </c>
      <c r="E30" s="4" t="n">
        <v>365</v>
      </c>
      <c r="F30" s="4">
        <f>365-E30</f>
        <v>0</v>
      </c>
      <c r="G30" s="10" t="n">
        <v>5.58000000000000007</v>
      </c>
      <c r="H30" s="10">
        <f>ROUND((G28+G29+G30)/3,2)</f>
        <v>5.58000000000000007</v>
      </c>
      <c r="I30" s="12"/>
      <c r="J30" s="12">
        <f>I29/B29</f>
        <v>0.833522580645161071</v>
      </c>
      <c r="K30" s="12">
        <f>(J28*G30*E30)+(J30*G30*F30)</f>
        <v>1723.25405120481992</v>
      </c>
      <c r="L30" s="12">
        <f>K30/12</f>
        <v>143.604504267067995</v>
      </c>
      <c r="M30" s="8" t="s">
        <v>35</v>
      </c>
    </row>
    <row r="31" spans="1:13" hidden="1">
      <c r="A31" s="7" t="n">
        <v>42020</v>
      </c>
      <c r="B31" s="4" t="n">
        <v>3177</v>
      </c>
      <c r="C31" s="4"/>
      <c r="D31" s="10" t="e">
        <f>ROUND(B31/C31,2)</f>
        <v>#DIV/0!</v>
      </c>
      <c r="E31" s="4"/>
      <c r="F31" s="4"/>
      <c r="G31" s="10" t="e">
        <f>SUM(E31*D31,F31*D32)/(E31+F31)</f>
        <v>#DIV/0!</v>
      </c>
      <c r="H31" s="10" t="e">
        <f>ROUND((G29+G30+G31)/3,2)</f>
        <v>#DIV/0!</v>
      </c>
      <c r="I31" s="12"/>
      <c r="J31" s="12">
        <f>I31/B31</f>
        <v>0</v>
      </c>
      <c r="K31" s="12" t="e">
        <f>(J29*G31*E31)+(J31*G31*F31)</f>
        <v>#DIV/0!</v>
      </c>
      <c r="L31" s="12" t="e">
        <f>K31/12</f>
        <v>#DIV/0!</v>
      </c>
      <c r="M31" s="8" t="s">
        <v>36</v>
      </c>
      <extLst>
        <ext uri="smNativeData">
          <pm:rowDef xmlns:pm="smNativeData" id="1598996201" r="31" hidden="1" collapsedDB="0" collapsedOL="0"/>
        </ext>
      </extLst>
    </row>
    <row r="74" spans="1:1"/>
  </sheetData>
  <mergeCells count="12">
    <mergeCell ref="E1:F1"/>
    <mergeCell ref="A1:A2"/>
    <mergeCell ref="B1:B2"/>
    <mergeCell ref="C1:C2"/>
    <mergeCell ref="D1:D2"/>
    <mergeCell ref="G1:G2"/>
    <mergeCell ref="H1:H2"/>
    <mergeCell ref="I1:I2"/>
    <mergeCell ref="J1:J2"/>
    <mergeCell ref="K1:K2"/>
    <mergeCell ref="L1:L2"/>
    <mergeCell ref="M1:M2"/>
  </mergeCells>
  <printOptions>
    <extLst>
      <ext uri="smNativeData">
        <pm:pageFlags xmlns:pm="smNativeData" id="1598996201" printRowHead="0" printColHead="0" printHeadLine="0" printFootLine="0" autoHeightHeader="0" autoHeightFooter="0" fitToPageBoth="0"/>
      </ext>
    </extLst>
  </printOptions>
  <pageMargins left="0.279861" right="0.190278" top="1.250000" bottom="0.984028" header="0.511806" footer="0.511806"/>
  <pageSetup paperSize="9" scale="78" fitToWidth="0" fitToHeight="1" orientation="landscape"/>
  <headerFooter>
    <extLst>
      <ext uri="smNativeData">
        <pm:header xmlns:pm="smNativeData" id="1598996201" l="56" r="56" t="56" b="56" borderId="0" fillId="0" vertical="0"/>
        <pm:footer xmlns:pm="smNativeData" id="1598996201" l="56" r="56" t="56" b="56" borderId="0" fillId="0" vertical="2"/>
        <pm:paperBin xmlns:pm="smNativeData" id="1598996201" Id="0" type="0" value="0"/>
        <pm:paperBin xmlns:pm="smNativeData" id="1598996201" Id="1" type="0" value="0"/>
      </ext>
    </extLst>
  </headerFooter>
  <rowBreaks count="2" manualBreakCount="2">
    <brk id="30" man="1"/>
    <brk id="74" man="1"/>
  </rowBreaks>
  <drawing r:id="rId1"/>
  <extLst>
    <ext uri="smNativeData">
      <pm:sheetPrefs xmlns:pm="smNativeData" day="159899620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:AU50"/>
  <sheetViews>
    <sheetView tabSelected="1" view="normal" topLeftCell="AB4" workbookViewId="0">
      <selection activeCell="M45" sqref="M45"/>
    </sheetView>
  </sheetViews>
  <sheetFormatPr baseColWidth="10" defaultColWidth="10.750000" defaultRowHeight="13.45"/>
  <cols>
    <col min="1" max="1" width="12.500000" customWidth="1" style="0"/>
    <col min="2" max="2" width="16.000000" customWidth="1"/>
    <col min="3" max="5" width="12.160000" customWidth="1"/>
    <col min="6" max="6" width="12.830000" customWidth="1"/>
    <col min="9" max="9" width="12.500000" customWidth="1"/>
    <col min="10" max="10" width="16.000000" customWidth="1"/>
    <col min="11" max="13" width="12.160000" customWidth="1"/>
    <col min="14" max="14" width="12.830000" customWidth="1"/>
    <col min="15" max="15" width="12.160000" customWidth="1"/>
    <col min="17" max="17" width="12.500000" customWidth="1"/>
    <col min="18" max="18" width="16.000000" customWidth="1"/>
    <col min="19" max="21" width="12.160000" customWidth="1"/>
    <col min="22" max="22" width="12.830000" customWidth="1"/>
    <col min="23" max="24" width="12.160000" customWidth="1"/>
    <col min="25" max="25" width="12.500000" customWidth="1"/>
    <col min="26" max="26" width="16.000000" customWidth="1"/>
    <col min="27" max="29" width="12.160000" customWidth="1"/>
    <col min="30" max="30" width="12.830000" customWidth="1"/>
    <col min="31" max="32" width="12.160000" customWidth="1"/>
    <col min="33" max="33" width="12.500000" customWidth="1"/>
    <col min="34" max="34" width="16.000000" customWidth="1"/>
    <col min="35" max="37" width="12.160000" customWidth="1"/>
    <col min="38" max="38" width="12.830000" customWidth="1"/>
    <col min="39" max="39" width="12.160000" customWidth="1"/>
    <col min="41" max="41" width="12.500000" customWidth="1"/>
    <col min="42" max="42" width="16.000000" customWidth="1"/>
    <col min="43" max="45" width="12.160000" customWidth="1"/>
    <col min="46" max="46" width="12.830000" customWidth="1"/>
    <col min="47" max="47" width="12.160000" customWidth="1"/>
  </cols>
  <sheetData>
    <row r="1" spans="1:47">
      <c r="A1" s="43" t="s">
        <v>37</v>
      </c>
      <c r="B1" s="43"/>
      <c r="C1" s="43"/>
      <c r="D1" s="43"/>
      <c r="E1" s="43"/>
      <c r="F1" s="43"/>
      <c r="G1" s="43"/>
      <c r="H1" s="6"/>
      <c r="I1" s="43" t="s">
        <v>38</v>
      </c>
      <c r="J1" s="44"/>
      <c r="K1" s="44"/>
      <c r="L1" s="44"/>
      <c r="M1" s="44"/>
      <c r="N1" s="44"/>
      <c r="O1" s="44"/>
      <c r="P1" s="6"/>
      <c r="Q1" s="43" t="s">
        <v>39</v>
      </c>
      <c r="R1" s="44"/>
      <c r="S1" s="44"/>
      <c r="T1" s="44"/>
      <c r="U1" s="44"/>
      <c r="V1" s="44"/>
      <c r="W1" s="44"/>
      <c r="X1" s="6"/>
      <c r="Y1" s="43" t="s">
        <v>40</v>
      </c>
      <c r="Z1" s="44"/>
      <c r="AA1" s="44"/>
      <c r="AB1" s="44"/>
      <c r="AC1" s="44"/>
      <c r="AD1" s="44"/>
      <c r="AE1" s="44"/>
      <c r="AF1" s="6"/>
      <c r="AG1" s="43" t="s">
        <v>41</v>
      </c>
      <c r="AH1" s="44"/>
      <c r="AI1" s="44"/>
      <c r="AJ1" s="44"/>
      <c r="AK1" s="44"/>
      <c r="AL1" s="44"/>
      <c r="AM1" s="44"/>
      <c r="AN1" s="6"/>
      <c r="AO1" s="43" t="s">
        <v>42</v>
      </c>
      <c r="AP1" s="44"/>
      <c r="AQ1" s="44"/>
      <c r="AR1" s="44"/>
      <c r="AS1" s="44"/>
      <c r="AT1" s="44"/>
      <c r="AU1" s="44"/>
    </row>
    <row r="2" spans="1:47" ht="25.50" customHeight="1">
      <c r="A2" s="2" t="s">
        <v>43</v>
      </c>
      <c r="B2" s="19"/>
      <c r="C2" s="2" t="s">
        <v>44</v>
      </c>
      <c r="D2" s="20" t="s">
        <v>45</v>
      </c>
      <c r="E2" s="20" t="s">
        <v>46</v>
      </c>
      <c r="F2" s="2" t="s">
        <v>47</v>
      </c>
      <c r="G2" s="20" t="s">
        <v>48</v>
      </c>
      <c r="H2" s="34"/>
      <c r="I2" s="2" t="s">
        <v>43</v>
      </c>
      <c r="J2" s="19"/>
      <c r="K2" s="2" t="s">
        <v>44</v>
      </c>
      <c r="L2" s="20" t="s">
        <v>45</v>
      </c>
      <c r="M2" s="20" t="s">
        <v>46</v>
      </c>
      <c r="N2" s="2" t="s">
        <v>47</v>
      </c>
      <c r="O2" s="20" t="s">
        <v>48</v>
      </c>
      <c r="P2" s="34"/>
      <c r="Q2" s="2" t="s">
        <v>43</v>
      </c>
      <c r="R2" s="19"/>
      <c r="S2" s="2" t="s">
        <v>44</v>
      </c>
      <c r="T2" s="20" t="s">
        <v>45</v>
      </c>
      <c r="U2" s="20" t="s">
        <v>46</v>
      </c>
      <c r="V2" s="2" t="s">
        <v>47</v>
      </c>
      <c r="W2" s="20" t="s">
        <v>48</v>
      </c>
      <c r="X2" s="34"/>
      <c r="Y2" s="2" t="s">
        <v>43</v>
      </c>
      <c r="Z2" s="19"/>
      <c r="AA2" s="2" t="s">
        <v>44</v>
      </c>
      <c r="AB2" s="20" t="s">
        <v>45</v>
      </c>
      <c r="AC2" s="20" t="s">
        <v>46</v>
      </c>
      <c r="AD2" s="2" t="s">
        <v>47</v>
      </c>
      <c r="AE2" s="20" t="s">
        <v>48</v>
      </c>
      <c r="AF2" s="34"/>
      <c r="AG2" s="2" t="s">
        <v>43</v>
      </c>
      <c r="AH2" s="19"/>
      <c r="AI2" s="2" t="s">
        <v>44</v>
      </c>
      <c r="AJ2" s="20" t="s">
        <v>45</v>
      </c>
      <c r="AK2" s="20" t="s">
        <v>46</v>
      </c>
      <c r="AL2" s="2" t="s">
        <v>47</v>
      </c>
      <c r="AM2" s="20" t="s">
        <v>48</v>
      </c>
      <c r="AN2" s="34"/>
      <c r="AO2" s="2" t="s">
        <v>43</v>
      </c>
      <c r="AP2" s="19"/>
      <c r="AQ2" s="2" t="s">
        <v>44</v>
      </c>
      <c r="AR2" s="20" t="s">
        <v>45</v>
      </c>
      <c r="AS2" s="20" t="s">
        <v>46</v>
      </c>
      <c r="AT2" s="2" t="s">
        <v>47</v>
      </c>
      <c r="AU2" s="20" t="s">
        <v>48</v>
      </c>
    </row>
    <row r="3" spans="1:47" ht="12.75" customHeight="1">
      <c r="A3" s="36" t="s">
        <v>49</v>
      </c>
      <c r="B3" s="21" t="s">
        <v>50</v>
      </c>
      <c r="C3" s="32" t="n">
        <v>80570.6000000000058</v>
      </c>
      <c r="D3" s="25" t="n">
        <v>196.699999999999989</v>
      </c>
      <c r="E3" s="25">
        <f>D3/31</f>
        <v>6.34516129032258025</v>
      </c>
      <c r="F3" s="26">
        <f>D3*0.2734+5.5</f>
        <v>59.2777799999999999</v>
      </c>
      <c r="G3" s="38">
        <f>SUM(F3:F5)</f>
        <v>258.764490799999976</v>
      </c>
      <c r="H3" s="33"/>
      <c r="I3" s="36" t="s">
        <v>49</v>
      </c>
      <c r="J3" s="21" t="s">
        <v>50</v>
      </c>
      <c r="K3" s="32" t="n">
        <v>82560.8999999999942</v>
      </c>
      <c r="L3" s="25">
        <f>K3-C36</f>
        <v>204.099999999991013</v>
      </c>
      <c r="M3" s="25">
        <f>L3/31</f>
        <v>6.58387096774164959</v>
      </c>
      <c r="N3" s="26">
        <f>L3*0.291+6</f>
        <v>65.3930999999974034</v>
      </c>
      <c r="O3" s="38">
        <f>SUM(N3:N5)</f>
        <v>264.475431999996999</v>
      </c>
      <c r="P3" s="33"/>
      <c r="Q3" s="36" t="s">
        <v>49</v>
      </c>
      <c r="R3" s="21" t="s">
        <v>50</v>
      </c>
      <c r="S3" s="32" t="n">
        <v>84494.3000000000029</v>
      </c>
      <c r="T3" s="25">
        <f>S3-K36</f>
        <v>212.5</v>
      </c>
      <c r="U3" s="25">
        <f>T3/31</f>
        <v>6.85483870967741993</v>
      </c>
      <c r="V3" s="26">
        <f>T3*0.301+6</f>
        <v>69.9625000000000057</v>
      </c>
      <c r="W3" s="38">
        <f>SUM(V3:V5)</f>
        <v>236.708608999999996</v>
      </c>
      <c r="X3" s="33"/>
      <c r="Y3" s="36" t="s">
        <v>49</v>
      </c>
      <c r="Z3" s="21" t="s">
        <v>50</v>
      </c>
      <c r="AA3" s="32" t="n">
        <v>86274</v>
      </c>
      <c r="AB3" s="25">
        <f>AA3-S36</f>
        <v>177.199999999997004</v>
      </c>
      <c r="AC3" s="25">
        <f>AB3/31</f>
        <v>5.71612903225797009</v>
      </c>
      <c r="AD3" s="26">
        <f>AB3*0.301+6</f>
        <v>59.3371999999991004</v>
      </c>
      <c r="AE3" s="38">
        <f>SUM(AD3:AD5)</f>
        <v>246.036471999999009</v>
      </c>
      <c r="AF3" s="33"/>
      <c r="AG3" s="36" t="s">
        <v>49</v>
      </c>
      <c r="AH3" s="21" t="s">
        <v>50</v>
      </c>
      <c r="AI3" s="32" t="n">
        <v>88088.1999999999825</v>
      </c>
      <c r="AJ3" s="25">
        <f>AI3-AA36</f>
        <v>189.199999999997004</v>
      </c>
      <c r="AK3" s="25">
        <f>AJ3/31</f>
        <v>6.10322580645151991</v>
      </c>
      <c r="AL3" s="26">
        <f>AJ3*0.301+9.42</f>
        <v>66.3691999999990969</v>
      </c>
      <c r="AM3" s="38">
        <f>SUM(AL3:AL5)</f>
        <v>268.515295999999012</v>
      </c>
      <c r="AN3" s="33"/>
      <c r="AO3" s="36" t="s">
        <v>49</v>
      </c>
      <c r="AP3" s="21" t="s">
        <v>50</v>
      </c>
      <c r="AQ3" s="32" t="n">
        <v>89907.6999999999825</v>
      </c>
      <c r="AR3" s="25">
        <f>AQ3-AI36</f>
        <v>169.5</v>
      </c>
      <c r="AS3" s="25">
        <f>AR3/31</f>
        <v>5.46774193548387011</v>
      </c>
      <c r="AT3" s="26">
        <f>AR3*0.3053+7.06</f>
        <v>58.8083499999999972</v>
      </c>
      <c r="AU3" s="38">
        <f>SUM(AT3:AT5)</f>
        <v>249.16115400000001</v>
      </c>
    </row>
    <row r="4" spans="1:47">
      <c r="A4" s="34"/>
      <c r="B4" s="22" t="s">
        <v>51</v>
      </c>
      <c r="C4" s="27" t="n">
        <v>296875</v>
      </c>
      <c r="D4" s="27" t="n">
        <v>8122</v>
      </c>
      <c r="E4" s="28" t="n">
        <v>262</v>
      </c>
      <c r="F4" s="29">
        <f>(D4/1000*1.12+3)*1.07</f>
        <v>12.9434047999999997</v>
      </c>
      <c r="G4" s="33"/>
      <c r="H4" s="33"/>
      <c r="I4" s="34"/>
      <c r="J4" s="22" t="s">
        <v>51</v>
      </c>
      <c r="K4" s="27" t="n">
        <v>396698</v>
      </c>
      <c r="L4" s="27">
        <f>K4-C37</f>
        <v>8885</v>
      </c>
      <c r="M4" s="28">
        <f>L4/31</f>
        <v>286.612903225806974</v>
      </c>
      <c r="N4" s="29">
        <f>(L4/1000*1.12+3)*1.07</f>
        <v>13.8577840000000005</v>
      </c>
      <c r="O4" s="33"/>
      <c r="P4" s="33"/>
      <c r="Q4" s="34"/>
      <c r="R4" s="22" t="s">
        <v>51</v>
      </c>
      <c r="S4" s="27" t="n">
        <v>501464</v>
      </c>
      <c r="T4" s="27">
        <f>S4-K37</f>
        <v>8532</v>
      </c>
      <c r="U4" s="28">
        <f>T4/31</f>
        <v>275.225806451612982</v>
      </c>
      <c r="V4" s="29">
        <f>(T4/1000*1.1+3)*1.07</f>
        <v>13.2521640000000005</v>
      </c>
      <c r="W4" s="33"/>
      <c r="X4" s="33"/>
      <c r="Y4" s="34"/>
      <c r="Z4" s="22" t="s">
        <v>51</v>
      </c>
      <c r="AA4" s="27" t="n">
        <v>609733</v>
      </c>
      <c r="AB4" s="27">
        <f>AA4-S37</f>
        <v>9203</v>
      </c>
      <c r="AC4" s="28">
        <f>AB4/31</f>
        <v>296.870967741935999</v>
      </c>
      <c r="AD4" s="29">
        <f>(AB4/1000*1.1+3)*1.07</f>
        <v>14.0419309999999999</v>
      </c>
      <c r="AE4" s="33"/>
      <c r="AF4" s="33"/>
      <c r="AG4" s="34"/>
      <c r="AH4" s="22" t="s">
        <v>51</v>
      </c>
      <c r="AI4" s="27" t="n">
        <v>722087</v>
      </c>
      <c r="AJ4" s="27">
        <f>AI4-AA37</f>
        <v>9447</v>
      </c>
      <c r="AK4" s="28">
        <f>AJ4/31</f>
        <v>304.741935483870975</v>
      </c>
      <c r="AL4" s="29">
        <f>(AJ4/1000*1.1+3)*1.07</f>
        <v>14.3291190000000004</v>
      </c>
      <c r="AM4" s="33"/>
      <c r="AN4" s="33"/>
      <c r="AO4" s="34"/>
      <c r="AP4" s="22" t="s">
        <v>51</v>
      </c>
      <c r="AQ4" s="27" t="n">
        <v>837276</v>
      </c>
      <c r="AR4" s="27">
        <f>AQ4-AI37</f>
        <v>9615</v>
      </c>
      <c r="AS4" s="28">
        <f>AR4/31</f>
        <v>310.16129032258101</v>
      </c>
      <c r="AT4" s="29">
        <f>(AR4/1000*1.1+6.7)*1.07</f>
        <v>18.4858550000000008</v>
      </c>
      <c r="AU4" s="33"/>
    </row>
    <row r="5" spans="1:47">
      <c r="A5" s="37"/>
      <c r="B5" s="23" t="s">
        <v>52</v>
      </c>
      <c r="C5" s="30" t="n">
        <v>3742.84999999999991</v>
      </c>
      <c r="D5" s="30" t="n">
        <v>336.660000000000025</v>
      </c>
      <c r="E5" s="30" t="n">
        <v>10.8599999999999994</v>
      </c>
      <c r="F5" s="31">
        <f>D5/100*55.41</f>
        <v>186.543306000000001</v>
      </c>
      <c r="G5" s="39"/>
      <c r="H5" s="33"/>
      <c r="I5" s="37"/>
      <c r="J5" s="23" t="s">
        <v>52</v>
      </c>
      <c r="K5" s="30" t="n">
        <v>1757.1400000000001</v>
      </c>
      <c r="L5" s="30">
        <f>C38-K5</f>
        <v>334.279999999999973</v>
      </c>
      <c r="M5" s="30">
        <f>L5/31</f>
        <v>10.7832258064516004</v>
      </c>
      <c r="N5" s="31">
        <f>L5/100*55.41</f>
        <v>185.224547999999999</v>
      </c>
      <c r="O5" s="39"/>
      <c r="P5" s="33"/>
      <c r="Q5" s="37"/>
      <c r="R5" s="23" t="s">
        <v>52</v>
      </c>
      <c r="S5" s="30" t="n">
        <v>2734.28999999999996</v>
      </c>
      <c r="T5" s="30">
        <f>K38-S5</f>
        <v>342.850000000000023</v>
      </c>
      <c r="U5" s="30">
        <f>T5/31</f>
        <v>11.0596774193548004</v>
      </c>
      <c r="V5" s="31">
        <f>T5/100*44.77</f>
        <v>153.493944999999997</v>
      </c>
      <c r="W5" s="39"/>
      <c r="X5" s="33"/>
      <c r="Y5" s="37"/>
      <c r="Z5" s="23" t="s">
        <v>52</v>
      </c>
      <c r="AA5" s="30" t="n">
        <v>3588.88999999999987</v>
      </c>
      <c r="AB5" s="30">
        <f>S38-AA5</f>
        <v>291.110000000000014</v>
      </c>
      <c r="AC5" s="30">
        <f>AB5/31</f>
        <v>9.39064516129032079</v>
      </c>
      <c r="AD5" s="31">
        <f>AB5/100*59.31</f>
        <v>172.657341000000002</v>
      </c>
      <c r="AE5" s="39"/>
      <c r="AF5" s="33"/>
      <c r="AG5" s="37"/>
      <c r="AH5" s="23" t="s">
        <v>52</v>
      </c>
      <c r="AI5" s="30" t="n">
        <v>1500</v>
      </c>
      <c r="AJ5" s="30">
        <f>AA38-AI5</f>
        <v>316.670000000000016</v>
      </c>
      <c r="AK5" s="30">
        <f>AJ5/31</f>
        <v>10.2151612903225999</v>
      </c>
      <c r="AL5" s="31">
        <f>AJ5/100*59.31</f>
        <v>187.816977000000009</v>
      </c>
      <c r="AM5" s="39"/>
      <c r="AN5" s="33"/>
      <c r="AO5" s="37"/>
      <c r="AP5" s="23" t="s">
        <v>52</v>
      </c>
      <c r="AQ5" s="30" t="n">
        <v>2702.7800000000002</v>
      </c>
      <c r="AR5" s="30">
        <f>AI38-AQ5</f>
        <v>258.329999999999984</v>
      </c>
      <c r="AS5" s="30">
        <f>AR5/31</f>
        <v>8.33322580645161004</v>
      </c>
      <c r="AT5" s="31">
        <f>AR5/100*66.53</f>
        <v>171.866949000000005</v>
      </c>
      <c r="AU5" s="39"/>
    </row>
    <row r="6" spans="1:47" ht="12.75" customHeight="1">
      <c r="A6" s="40" t="s">
        <v>53</v>
      </c>
      <c r="B6" s="21" t="s">
        <v>50</v>
      </c>
      <c r="C6" s="32" t="n">
        <v>80737.1999999999825</v>
      </c>
      <c r="D6" s="25">
        <f>C6-C3</f>
        <v>166.599999999991013</v>
      </c>
      <c r="E6" s="25">
        <f>D6/28</f>
        <v>5.94999999999968043</v>
      </c>
      <c r="F6" s="26">
        <f>D6*0.2734+5.5</f>
        <v>51.0484399999974983</v>
      </c>
      <c r="G6" s="38">
        <f>SUM(F6:F8)</f>
        <v>205.673785999997989</v>
      </c>
      <c r="H6" s="33"/>
      <c r="I6" s="40" t="s">
        <v>53</v>
      </c>
      <c r="J6" s="21" t="s">
        <v>50</v>
      </c>
      <c r="K6" s="32" t="n">
        <v>82731.3000000000029</v>
      </c>
      <c r="L6" s="25">
        <f>K6-K3</f>
        <v>170.400000000008987</v>
      </c>
      <c r="M6" s="25">
        <f>L6/29</f>
        <v>5.87586206896583008</v>
      </c>
      <c r="N6" s="26">
        <f>L6*0.291+6</f>
        <v>55.5864000000025982</v>
      </c>
      <c r="O6" s="38">
        <f>SUM(N6:N8)</f>
        <v>221.692813200003002</v>
      </c>
      <c r="P6" s="33"/>
      <c r="Q6" s="40" t="s">
        <v>53</v>
      </c>
      <c r="R6" s="21" t="s">
        <v>50</v>
      </c>
      <c r="S6" s="32" t="n">
        <v>84659.6000000000058</v>
      </c>
      <c r="T6" s="25">
        <f>S6-S3</f>
        <v>165.300000000002996</v>
      </c>
      <c r="U6" s="25">
        <f>T6/28</f>
        <v>5.90357142857154038</v>
      </c>
      <c r="V6" s="26">
        <f>T6*0.301+6</f>
        <v>55.7553000000009007</v>
      </c>
      <c r="W6" s="38">
        <f>SUM(V6:V8)</f>
        <v>198.912184000000991</v>
      </c>
      <c r="X6" s="33"/>
      <c r="Y6" s="40" t="s">
        <v>53</v>
      </c>
      <c r="Z6" s="21" t="s">
        <v>50</v>
      </c>
      <c r="AA6" s="32" t="n">
        <v>86444.6999999999825</v>
      </c>
      <c r="AB6" s="25">
        <f>AA6-AA3</f>
        <v>170.699999999997004</v>
      </c>
      <c r="AC6" s="25">
        <f>AB6/28</f>
        <v>6.09642857142845962</v>
      </c>
      <c r="AD6" s="26">
        <f>AB6*0.301+6</f>
        <v>57.3806999999991021</v>
      </c>
      <c r="AE6" s="38">
        <f>SUM(AD6:AD8)</f>
        <v>276.258317999999008</v>
      </c>
      <c r="AF6" s="33"/>
      <c r="AG6" s="40" t="s">
        <v>53</v>
      </c>
      <c r="AH6" s="21" t="s">
        <v>50</v>
      </c>
      <c r="AI6" s="32" t="n">
        <v>88238.5</v>
      </c>
      <c r="AJ6" s="25">
        <f>AI6-AI3</f>
        <v>150.300000000002996</v>
      </c>
      <c r="AK6" s="25">
        <f>AJ6/28</f>
        <v>5.36785714285725035</v>
      </c>
      <c r="AL6" s="26">
        <f>AJ6*0.301+9.42</f>
        <v>54.6603000000009018</v>
      </c>
      <c r="AM6" s="38">
        <f>SUM(AL6:AL8)</f>
        <v>207.964606000000998</v>
      </c>
      <c r="AN6" s="33"/>
      <c r="AO6" s="40" t="s">
        <v>53</v>
      </c>
      <c r="AP6" s="21" t="s">
        <v>50</v>
      </c>
      <c r="AQ6" s="32" t="n">
        <v>90059.3999999999942</v>
      </c>
      <c r="AR6" s="25">
        <f>AQ6-AQ3</f>
        <v>151.699999999997004</v>
      </c>
      <c r="AS6" s="25">
        <f>AR6/29</f>
        <v>5.23103448275851957</v>
      </c>
      <c r="AT6" s="26">
        <f>AR6*0.3053+7.06</f>
        <v>53.3740099999991031</v>
      </c>
      <c r="AU6" s="38">
        <f>SUM(AT6:AT8)</f>
        <v>237.705825999999007</v>
      </c>
    </row>
    <row r="7" spans="1:47">
      <c r="A7" s="41"/>
      <c r="B7" s="22" t="s">
        <v>51</v>
      </c>
      <c r="C7" s="27" t="n">
        <v>304330</v>
      </c>
      <c r="D7" s="27">
        <f>C7-C4</f>
        <v>7455</v>
      </c>
      <c r="E7" s="28">
        <f>D7/28</f>
        <v>266.25</v>
      </c>
      <c r="F7" s="29">
        <f>(D7/1000*1.12+3)*1.07</f>
        <v>12.1440719999999995</v>
      </c>
      <c r="G7" s="33"/>
      <c r="H7" s="33"/>
      <c r="I7" s="41"/>
      <c r="J7" s="22" t="s">
        <v>51</v>
      </c>
      <c r="K7" s="27" t="n">
        <v>404486</v>
      </c>
      <c r="L7" s="27">
        <f>K7-K4</f>
        <v>7788</v>
      </c>
      <c r="M7" s="28">
        <f>L7/29</f>
        <v>268.551724137930989</v>
      </c>
      <c r="N7" s="29">
        <f>(L7/1000*1.12+3)*1.07</f>
        <v>12.5431392000000006</v>
      </c>
      <c r="O7" s="33"/>
      <c r="P7" s="33"/>
      <c r="Q7" s="41"/>
      <c r="R7" s="22" t="s">
        <v>51</v>
      </c>
      <c r="S7" s="27" t="n">
        <v>509513</v>
      </c>
      <c r="T7" s="27">
        <f>S7-S4</f>
        <v>8049</v>
      </c>
      <c r="U7" s="28">
        <f>T7/28</f>
        <v>287.464285714286007</v>
      </c>
      <c r="V7" s="29">
        <f>(T7/1000*1.1+3)*1.07</f>
        <v>12.6836730000000006</v>
      </c>
      <c r="W7" s="33"/>
      <c r="X7" s="33"/>
      <c r="Y7" s="41"/>
      <c r="Z7" s="22" t="s">
        <v>51</v>
      </c>
      <c r="AA7" s="27" t="n">
        <v>618001</v>
      </c>
      <c r="AB7" s="27">
        <f>AA7-AA4</f>
        <v>8268</v>
      </c>
      <c r="AC7" s="28">
        <f>AB7/28</f>
        <v>295.285714285713993</v>
      </c>
      <c r="AD7" s="29">
        <f>(AB7/1000*1.1+3)*1.07</f>
        <v>12.9414359999999995</v>
      </c>
      <c r="AE7" s="33"/>
      <c r="AF7" s="33"/>
      <c r="AG7" s="41"/>
      <c r="AH7" s="22" t="s">
        <v>51</v>
      </c>
      <c r="AI7" s="27" t="n">
        <v>730632</v>
      </c>
      <c r="AJ7" s="27">
        <f>AI7-AI4</f>
        <v>8545</v>
      </c>
      <c r="AK7" s="28">
        <f>AJ7/28</f>
        <v>305.178571428572013</v>
      </c>
      <c r="AL7" s="29">
        <f>(AJ7/1000*1.1+3)*1.07</f>
        <v>13.2674649999999996</v>
      </c>
      <c r="AM7" s="33"/>
      <c r="AN7" s="33"/>
      <c r="AO7" s="41"/>
      <c r="AP7" s="22" t="s">
        <v>51</v>
      </c>
      <c r="AQ7" s="27" t="n">
        <v>846484</v>
      </c>
      <c r="AR7" s="27">
        <f>AQ7-AQ4</f>
        <v>9208</v>
      </c>
      <c r="AS7" s="28">
        <f>AR7/29</f>
        <v>317.517241379310008</v>
      </c>
      <c r="AT7" s="29">
        <f>(AR7/1000*1.1+6.7)*1.07</f>
        <v>18.0068160000000006</v>
      </c>
      <c r="AU7" s="33"/>
    </row>
    <row r="8" spans="1:47">
      <c r="A8" s="42"/>
      <c r="B8" s="23" t="s">
        <v>52</v>
      </c>
      <c r="C8" s="30" t="n">
        <v>3485.71000000000004</v>
      </c>
      <c r="D8" s="30">
        <f>C5-C8</f>
        <v>257.139999999999986</v>
      </c>
      <c r="E8" s="30">
        <f>D8/28</f>
        <v>9.18357142857142961</v>
      </c>
      <c r="F8" s="31">
        <f>D8/100*55.41</f>
        <v>142.481274000000013</v>
      </c>
      <c r="G8" s="39"/>
      <c r="H8" s="33"/>
      <c r="I8" s="42"/>
      <c r="J8" s="23" t="s">
        <v>52</v>
      </c>
      <c r="K8" s="30" t="n">
        <v>1480</v>
      </c>
      <c r="L8" s="30">
        <f>K5-K8</f>
        <v>277.139999999999986</v>
      </c>
      <c r="M8" s="30">
        <f>L8/29</f>
        <v>9.55655172413793075</v>
      </c>
      <c r="N8" s="31">
        <f>L8/100*55.41</f>
        <v>153.563274000000007</v>
      </c>
      <c r="O8" s="39"/>
      <c r="P8" s="33"/>
      <c r="Q8" s="42"/>
      <c r="R8" s="23" t="s">
        <v>52</v>
      </c>
      <c r="S8" s="30" t="n">
        <v>2442.86000000000013</v>
      </c>
      <c r="T8" s="30">
        <f>S5-S8</f>
        <v>291.430000000000007</v>
      </c>
      <c r="U8" s="30">
        <f>T8/28</f>
        <v>10.4082142857142994</v>
      </c>
      <c r="V8" s="31">
        <f>T8/100*44.77</f>
        <v>130.473210999999992</v>
      </c>
      <c r="W8" s="39"/>
      <c r="X8" s="33"/>
      <c r="Y8" s="42"/>
      <c r="Z8" s="23" t="s">
        <v>52</v>
      </c>
      <c r="AA8" s="30" t="n">
        <v>3241.67000000000007</v>
      </c>
      <c r="AB8" s="30">
        <f>AA5-AA8</f>
        <v>347.220000000000027</v>
      </c>
      <c r="AC8" s="30">
        <f>AB8/28</f>
        <v>12.4007142857142991</v>
      </c>
      <c r="AD8" s="31">
        <f>AB8/100*59.31</f>
        <v>205.936182000000002</v>
      </c>
      <c r="AE8" s="39"/>
      <c r="AF8" s="33"/>
      <c r="AG8" s="42"/>
      <c r="AH8" s="23" t="s">
        <v>52</v>
      </c>
      <c r="AI8" s="30" t="n">
        <v>1263.8900000000001</v>
      </c>
      <c r="AJ8" s="30">
        <f>AI5-AI8</f>
        <v>236.110000000000014</v>
      </c>
      <c r="AK8" s="30">
        <f>AJ8/28</f>
        <v>8.43249999999999922</v>
      </c>
      <c r="AL8" s="31">
        <f>AJ8/100*59.31</f>
        <v>140.03684100000001</v>
      </c>
      <c r="AM8" s="39"/>
      <c r="AN8" s="33"/>
      <c r="AO8" s="42"/>
      <c r="AP8" s="23" t="s">
        <v>52</v>
      </c>
      <c r="AQ8" s="30" t="n">
        <v>2452.7800000000002</v>
      </c>
      <c r="AR8" s="30">
        <f>AQ5-AQ8</f>
        <v>250</v>
      </c>
      <c r="AS8" s="30">
        <f>AR8/29</f>
        <v>8.62068965517241992</v>
      </c>
      <c r="AT8" s="31">
        <f>AR8/100*66.53</f>
        <v>166.324999999999989</v>
      </c>
      <c r="AU8" s="39"/>
    </row>
    <row r="9" spans="1:47" ht="12.75" customHeight="1">
      <c r="A9" s="40" t="s">
        <v>54</v>
      </c>
      <c r="B9" s="21" t="s">
        <v>50</v>
      </c>
      <c r="C9" s="32" t="n">
        <v>80910.6000000000058</v>
      </c>
      <c r="D9" s="25">
        <f>C9-C6</f>
        <v>173.400000000008987</v>
      </c>
      <c r="E9" s="25">
        <f>D9/31</f>
        <v>5.59354838709706037</v>
      </c>
      <c r="F9" s="26">
        <f>D9*0.2734+5.5</f>
        <v>52.9075600000024977</v>
      </c>
      <c r="G9" s="38">
        <f>SUM(F9:F11)</f>
        <v>176.748113400003007</v>
      </c>
      <c r="H9" s="33"/>
      <c r="I9" s="40" t="s">
        <v>54</v>
      </c>
      <c r="J9" s="21" t="s">
        <v>50</v>
      </c>
      <c r="K9" s="32" t="n">
        <v>82899.6999999999825</v>
      </c>
      <c r="L9" s="25">
        <f>K9-K6</f>
        <v>168.399999999994009</v>
      </c>
      <c r="M9" s="25">
        <f>L9/31</f>
        <v>5.43225806451594018</v>
      </c>
      <c r="N9" s="26">
        <f>L9*0.291+6</f>
        <v>55.0043999999982987</v>
      </c>
      <c r="O9" s="38">
        <f>SUM(N9:N11)</f>
        <v>197.168252599997999</v>
      </c>
      <c r="P9" s="33"/>
      <c r="Q9" s="40" t="s">
        <v>54</v>
      </c>
      <c r="R9" s="21" t="s">
        <v>50</v>
      </c>
      <c r="S9" s="32" t="n">
        <v>84815.1999999999825</v>
      </c>
      <c r="T9" s="25">
        <f>S9-S6</f>
        <v>155.599999999991013</v>
      </c>
      <c r="U9" s="25">
        <f>T9/31</f>
        <v>5.01935483870938981</v>
      </c>
      <c r="V9" s="26">
        <f>T9*0.301+6</f>
        <v>52.8355999999972994</v>
      </c>
      <c r="W9" s="38">
        <f>SUM(V9:V11)</f>
        <v>154.953265999997001</v>
      </c>
      <c r="X9" s="33"/>
      <c r="Y9" s="40" t="s">
        <v>54</v>
      </c>
      <c r="Z9" s="21" t="s">
        <v>50</v>
      </c>
      <c r="AA9" s="32" t="n">
        <v>86625.6000000000058</v>
      </c>
      <c r="AB9" s="25">
        <f>AA9-AA6</f>
        <v>180.900000000008987</v>
      </c>
      <c r="AC9" s="25">
        <f>AB9/31</f>
        <v>5.83548387096803012</v>
      </c>
      <c r="AD9" s="26">
        <f>AB9*0.301+6</f>
        <v>60.4509000000026973</v>
      </c>
      <c r="AE9" s="38">
        <f>SUM(AD9:AD11)</f>
        <v>261.011736000002998</v>
      </c>
      <c r="AF9" s="33"/>
      <c r="AG9" s="40" t="s">
        <v>54</v>
      </c>
      <c r="AH9" s="21" t="s">
        <v>50</v>
      </c>
      <c r="AI9" s="32" t="n">
        <v>88405.3999999999942</v>
      </c>
      <c r="AJ9" s="25">
        <f>AI9-AI6</f>
        <v>166.899999999994009</v>
      </c>
      <c r="AK9" s="25">
        <f>AJ9/31</f>
        <v>5.38387096774174001</v>
      </c>
      <c r="AL9" s="26">
        <f>AJ9*0.301+9.42</f>
        <v>59.6568999999982026</v>
      </c>
      <c r="AM9" s="38">
        <f>SUM(AL9:AL11)</f>
        <v>204.359558999998001</v>
      </c>
      <c r="AN9" s="33"/>
      <c r="AO9" s="40" t="s">
        <v>54</v>
      </c>
      <c r="AP9" s="21" t="s">
        <v>50</v>
      </c>
      <c r="AQ9" s="32" t="n">
        <v>90213.1000000000058</v>
      </c>
      <c r="AR9" s="25">
        <f>AQ9-AQ6</f>
        <v>153.700000000012011</v>
      </c>
      <c r="AS9" s="25">
        <f>AR9/31</f>
        <v>4.95806451612942034</v>
      </c>
      <c r="AT9" s="26">
        <f>AR9*0.3053+7.06</f>
        <v>53.9846100000036984</v>
      </c>
      <c r="AU9" s="38">
        <f>SUM(AT9:AT11)</f>
        <v>224.618654000004</v>
      </c>
    </row>
    <row r="10" spans="1:47">
      <c r="A10" s="41"/>
      <c r="B10" s="22" t="s">
        <v>51</v>
      </c>
      <c r="C10" s="27" t="n">
        <v>312521</v>
      </c>
      <c r="D10" s="27">
        <f>C10-C7</f>
        <v>8191</v>
      </c>
      <c r="E10" s="28">
        <f>D10/31</f>
        <v>264.225806451612982</v>
      </c>
      <c r="F10" s="29">
        <f>(D10/1000*1.12+3)*1.07</f>
        <v>13.0260943999999999</v>
      </c>
      <c r="G10" s="33"/>
      <c r="H10" s="33"/>
      <c r="I10" s="41"/>
      <c r="J10" s="22" t="s">
        <v>51</v>
      </c>
      <c r="K10" s="27" t="n">
        <v>413430</v>
      </c>
      <c r="L10" s="27">
        <f>K10-K7</f>
        <v>8944</v>
      </c>
      <c r="M10" s="28">
        <f>L10/31</f>
        <v>288.516129032257993</v>
      </c>
      <c r="N10" s="29">
        <f>(L10/1000*1.12+3)*1.07</f>
        <v>13.9284896000000007</v>
      </c>
      <c r="O10" s="33"/>
      <c r="P10" s="33"/>
      <c r="Q10" s="41"/>
      <c r="R10" s="22" t="s">
        <v>51</v>
      </c>
      <c r="S10" s="27" t="n">
        <v>518556</v>
      </c>
      <c r="T10" s="27">
        <f>S10-S7</f>
        <v>9043</v>
      </c>
      <c r="U10" s="28">
        <f>T10/31</f>
        <v>291.709677419354989</v>
      </c>
      <c r="V10" s="29">
        <f>(T10/1000*1.1+3)*1.07</f>
        <v>13.8536110000000008</v>
      </c>
      <c r="W10" s="33"/>
      <c r="X10" s="33"/>
      <c r="Y10" s="41"/>
      <c r="Z10" s="22" t="s">
        <v>51</v>
      </c>
      <c r="AA10" s="27" t="n">
        <v>627502</v>
      </c>
      <c r="AB10" s="27">
        <f>AA10-AA7</f>
        <v>9501</v>
      </c>
      <c r="AC10" s="28">
        <f>AB10/31</f>
        <v>306.483870967742007</v>
      </c>
      <c r="AD10" s="29">
        <f>(AB10/1000*1.1+3)*1.07</f>
        <v>14.3926770000000008</v>
      </c>
      <c r="AE10" s="33"/>
      <c r="AF10" s="33"/>
      <c r="AG10" s="41"/>
      <c r="AH10" s="22" t="s">
        <v>51</v>
      </c>
      <c r="AI10" s="27" t="n">
        <v>740264</v>
      </c>
      <c r="AJ10" s="27">
        <f>AI10-AI7</f>
        <v>9632</v>
      </c>
      <c r="AK10" s="28">
        <f>AJ10/31</f>
        <v>310.709677419354989</v>
      </c>
      <c r="AL10" s="29">
        <f>(AJ10/1000*1.1+3)*1.07</f>
        <v>14.5468639999999994</v>
      </c>
      <c r="AM10" s="33"/>
      <c r="AN10" s="33"/>
      <c r="AO10" s="41"/>
      <c r="AP10" s="22" t="s">
        <v>51</v>
      </c>
      <c r="AQ10" s="27" t="n">
        <v>856614</v>
      </c>
      <c r="AR10" s="27">
        <f>AQ10-AQ7</f>
        <v>10130</v>
      </c>
      <c r="AS10" s="28">
        <f>AR10/31</f>
        <v>326.774193548387018</v>
      </c>
      <c r="AT10" s="29">
        <f>(AR10/1000*1.1+6.7)*1.07</f>
        <v>19.0920099999999984</v>
      </c>
      <c r="AU10" s="33"/>
    </row>
    <row r="11" spans="1:47">
      <c r="A11" s="42"/>
      <c r="B11" s="23" t="s">
        <v>52</v>
      </c>
      <c r="C11" s="30" t="n">
        <v>3285.7199999999998</v>
      </c>
      <c r="D11" s="30">
        <f>C8-C11</f>
        <v>199.990000000000009</v>
      </c>
      <c r="E11" s="30">
        <f>D11/31</f>
        <v>6.45129032258065038</v>
      </c>
      <c r="F11" s="31">
        <f>D11/100*55.41</f>
        <v>110.814458999999999</v>
      </c>
      <c r="G11" s="39"/>
      <c r="H11" s="33"/>
      <c r="I11" s="42"/>
      <c r="J11" s="23" t="s">
        <v>52</v>
      </c>
      <c r="K11" s="30" t="n">
        <v>1248.56999999999994</v>
      </c>
      <c r="L11" s="30">
        <f>K8-K11</f>
        <v>231.430000000000007</v>
      </c>
      <c r="M11" s="30">
        <f>L11/31</f>
        <v>7.46548387096773958</v>
      </c>
      <c r="N11" s="31">
        <f>L11/100*55.41</f>
        <v>128.235363000000007</v>
      </c>
      <c r="O11" s="39"/>
      <c r="P11" s="33"/>
      <c r="Q11" s="42"/>
      <c r="R11" s="23" t="s">
        <v>52</v>
      </c>
      <c r="S11" s="30" t="n">
        <v>2245.71000000000004</v>
      </c>
      <c r="T11" s="30">
        <f>S8-S11</f>
        <v>197.150000000000006</v>
      </c>
      <c r="U11" s="30">
        <f>T11/31</f>
        <v>6.35967741935484021</v>
      </c>
      <c r="V11" s="31">
        <f>T11/100*44.77</f>
        <v>88.264054999999999</v>
      </c>
      <c r="W11" s="39"/>
      <c r="X11" s="33"/>
      <c r="Y11" s="42"/>
      <c r="Z11" s="23" t="s">
        <v>52</v>
      </c>
      <c r="AA11" s="30" t="n">
        <v>2927.7800000000002</v>
      </c>
      <c r="AB11" s="30">
        <f>AA8-AA11</f>
        <v>313.889999999999986</v>
      </c>
      <c r="AC11" s="30">
        <f>AB11/31</f>
        <v>10.1254838709677006</v>
      </c>
      <c r="AD11" s="31">
        <f>AB11/100*59.31</f>
        <v>186.168159000000003</v>
      </c>
      <c r="AE11" s="39"/>
      <c r="AF11" s="33"/>
      <c r="AG11" s="42"/>
      <c r="AH11" s="23" t="s">
        <v>52</v>
      </c>
      <c r="AI11" s="30" t="n">
        <v>1044.44000000000005</v>
      </c>
      <c r="AJ11" s="30">
        <f>AI8-AI11</f>
        <v>219.449999999999989</v>
      </c>
      <c r="AK11" s="30">
        <f>AJ11/31</f>
        <v>7.07903225806451974</v>
      </c>
      <c r="AL11" s="31">
        <f>AJ11/100*59.31</f>
        <v>130.155795000000012</v>
      </c>
      <c r="AM11" s="39"/>
      <c r="AN11" s="33"/>
      <c r="AO11" s="42"/>
      <c r="AP11" s="23" t="s">
        <v>52</v>
      </c>
      <c r="AQ11" s="30" t="n">
        <v>2225</v>
      </c>
      <c r="AR11" s="30">
        <f>AQ8-AQ11</f>
        <v>227.780000000000001</v>
      </c>
      <c r="AS11" s="30">
        <f>AR11/31</f>
        <v>7.34774193548387</v>
      </c>
      <c r="AT11" s="31">
        <f>AR11/100*66.53</f>
        <v>151.542034000000001</v>
      </c>
      <c r="AU11" s="39"/>
    </row>
    <row r="12" spans="1:47" ht="12.75" customHeight="1">
      <c r="A12" s="40" t="s">
        <v>55</v>
      </c>
      <c r="B12" s="21" t="s">
        <v>50</v>
      </c>
      <c r="C12" s="32" t="n">
        <v>81072.6999999999825</v>
      </c>
      <c r="D12" s="25">
        <f>C12-C9</f>
        <v>162.099999999991013</v>
      </c>
      <c r="E12" s="25">
        <f>D12/30</f>
        <v>5.40333333333302956</v>
      </c>
      <c r="F12" s="26">
        <f>D12*0.2734+5.5</f>
        <v>49.8181399999974985</v>
      </c>
      <c r="G12" s="38">
        <f>SUM(F12:F14)</f>
        <v>149.845550199998002</v>
      </c>
      <c r="H12" s="33"/>
      <c r="I12" s="40" t="s">
        <v>55</v>
      </c>
      <c r="J12" s="21" t="s">
        <v>50</v>
      </c>
      <c r="K12" s="32" t="n">
        <v>83045.3999999999942</v>
      </c>
      <c r="L12" s="25">
        <f>K12-K9</f>
        <v>145.699999999997004</v>
      </c>
      <c r="M12" s="25">
        <f>L12/30</f>
        <v>4.85666666666656965</v>
      </c>
      <c r="N12" s="26">
        <f>L12*0.291+6</f>
        <v>48.3986999999991028</v>
      </c>
      <c r="O12" s="38">
        <f>SUM(N12:N14)</f>
        <v>151.717051599998996</v>
      </c>
      <c r="P12" s="33"/>
      <c r="Q12" s="40" t="s">
        <v>55</v>
      </c>
      <c r="R12" s="21" t="s">
        <v>50</v>
      </c>
      <c r="S12" s="32" t="n">
        <v>84959.1999999999825</v>
      </c>
      <c r="T12" s="25">
        <f>S12-S9</f>
        <v>144</v>
      </c>
      <c r="U12" s="25">
        <f>T12/30</f>
        <v>4.79999999999999982</v>
      </c>
      <c r="V12" s="26">
        <f>T12*0.301+6</f>
        <v>49.3440000000000012</v>
      </c>
      <c r="W12" s="38">
        <f>SUM(V12:V14)</f>
        <v>139.655157000000003</v>
      </c>
      <c r="X12" s="33"/>
      <c r="Y12" s="40" t="s">
        <v>55</v>
      </c>
      <c r="Z12" s="21" t="s">
        <v>50</v>
      </c>
      <c r="AA12" s="32" t="n">
        <v>86767.3999999999942</v>
      </c>
      <c r="AB12" s="25">
        <f>AA12-AA9</f>
        <v>141.799999999987989</v>
      </c>
      <c r="AC12" s="25">
        <f>AB12/30</f>
        <v>4.72666666666626956</v>
      </c>
      <c r="AD12" s="26">
        <f>AB12*0.301+6</f>
        <v>48.6817999999964002</v>
      </c>
      <c r="AE12" s="38">
        <f>SUM(AD12:AD14)</f>
        <v>138.872564999996001</v>
      </c>
      <c r="AF12" s="33"/>
      <c r="AG12" s="40" t="s">
        <v>55</v>
      </c>
      <c r="AH12" s="21" t="s">
        <v>50</v>
      </c>
      <c r="AI12" s="32" t="n">
        <v>88542.6999999999825</v>
      </c>
      <c r="AJ12" s="25">
        <f>AI12-AI9</f>
        <v>137.300000000002996</v>
      </c>
      <c r="AK12" s="25">
        <f>AJ12/30</f>
        <v>4.57666666666677013</v>
      </c>
      <c r="AL12" s="26">
        <f>AJ12*0.301+9.42</f>
        <v>50.747300000000898</v>
      </c>
      <c r="AM12" s="38">
        <f>SUM(AL12:AL14)</f>
        <v>143.788395000001003</v>
      </c>
      <c r="AN12" s="33"/>
      <c r="AO12" s="40" t="s">
        <v>55</v>
      </c>
      <c r="AP12" s="21" t="s">
        <v>50</v>
      </c>
      <c r="AQ12" s="32" t="n">
        <v>90353.6000000000058</v>
      </c>
      <c r="AR12" s="25">
        <f>AQ12-AQ9</f>
        <v>140.5</v>
      </c>
      <c r="AS12" s="25">
        <f>AR12/30</f>
        <v>4.68333333333333002</v>
      </c>
      <c r="AT12" s="26">
        <f>AR12*0.3053+7.06</f>
        <v>49.9546500000000009</v>
      </c>
      <c r="AU12" s="38">
        <f>SUM(AT12:AT14)</f>
        <v>164.870704999999987</v>
      </c>
    </row>
    <row r="13" spans="1:47">
      <c r="A13" s="41"/>
      <c r="B13" s="22" t="s">
        <v>51</v>
      </c>
      <c r="C13" s="27" t="n">
        <v>320649</v>
      </c>
      <c r="D13" s="27">
        <f>C13-C10</f>
        <v>8128</v>
      </c>
      <c r="E13" s="28">
        <f>D13/30</f>
        <v>270.933333333332996</v>
      </c>
      <c r="F13" s="29">
        <f>(D13/1000*1.12+3)*1.07</f>
        <v>12.9505952000000004</v>
      </c>
      <c r="G13" s="33"/>
      <c r="H13" s="33"/>
      <c r="I13" s="41"/>
      <c r="J13" s="22" t="s">
        <v>51</v>
      </c>
      <c r="K13" s="27" t="n">
        <v>421664</v>
      </c>
      <c r="L13" s="27">
        <f>K13-K10</f>
        <v>8234</v>
      </c>
      <c r="M13" s="28">
        <f>L13/30</f>
        <v>274.466666666666981</v>
      </c>
      <c r="N13" s="29">
        <f>(L13/1000*1.12+3)*1.07</f>
        <v>13.0776255999999993</v>
      </c>
      <c r="O13" s="33"/>
      <c r="P13" s="33"/>
      <c r="Q13" s="41"/>
      <c r="R13" s="22" t="s">
        <v>51</v>
      </c>
      <c r="S13" s="27" t="n">
        <v>527355</v>
      </c>
      <c r="T13" s="27">
        <f>S13-S10</f>
        <v>8799</v>
      </c>
      <c r="U13" s="28">
        <f>T13/30</f>
        <v>293.300000000000011</v>
      </c>
      <c r="V13" s="29">
        <f>(T13/1000*1.1+3)*1.07</f>
        <v>13.5664230000000003</v>
      </c>
      <c r="W13" s="33"/>
      <c r="X13" s="33"/>
      <c r="Y13" s="41"/>
      <c r="Z13" s="22" t="s">
        <v>51</v>
      </c>
      <c r="AA13" s="27" t="n">
        <v>637013</v>
      </c>
      <c r="AB13" s="27">
        <f>AA13-AA10</f>
        <v>9511</v>
      </c>
      <c r="AC13" s="28">
        <f>AB13/30</f>
        <v>317.033333333333019</v>
      </c>
      <c r="AD13" s="29">
        <f>(AB13/1000*1.1+3)*1.07</f>
        <v>14.4044469999999993</v>
      </c>
      <c r="AE13" s="33"/>
      <c r="AF13" s="33"/>
      <c r="AG13" s="41"/>
      <c r="AH13" s="22" t="s">
        <v>51</v>
      </c>
      <c r="AI13" s="27" t="n">
        <v>749400</v>
      </c>
      <c r="AJ13" s="27">
        <f>AI13-AI10</f>
        <v>9136</v>
      </c>
      <c r="AK13" s="28">
        <f>AJ13/30</f>
        <v>304.533333333333019</v>
      </c>
      <c r="AL13" s="29">
        <f>(AJ13/1000*1.1+3)*1.07</f>
        <v>13.9630720000000004</v>
      </c>
      <c r="AM13" s="33"/>
      <c r="AN13" s="33"/>
      <c r="AO13" s="41"/>
      <c r="AP13" s="22" t="s">
        <v>51</v>
      </c>
      <c r="AQ13" s="27" t="n">
        <v>866513</v>
      </c>
      <c r="AR13" s="27">
        <f>AQ13-AQ10</f>
        <v>9899</v>
      </c>
      <c r="AS13" s="28">
        <f>AR13/30</f>
        <v>329.966666666666981</v>
      </c>
      <c r="AT13" s="29">
        <f>(AR13/1000*1.1+6.7)*1.07</f>
        <v>18.8201229999999988</v>
      </c>
      <c r="AU13" s="33"/>
    </row>
    <row r="14" spans="1:47">
      <c r="A14" s="42"/>
      <c r="B14" s="23" t="s">
        <v>52</v>
      </c>
      <c r="C14" s="30" t="n">
        <v>3128.57000000000016</v>
      </c>
      <c r="D14" s="30">
        <f>C11-C14</f>
        <v>157.150000000000006</v>
      </c>
      <c r="E14" s="30">
        <f>D14/30</f>
        <v>5.23833333333332973</v>
      </c>
      <c r="F14" s="31">
        <f>D14/100*55.41</f>
        <v>87.0768149999999963</v>
      </c>
      <c r="G14" s="39"/>
      <c r="H14" s="33"/>
      <c r="I14" s="42"/>
      <c r="J14" s="23" t="s">
        <v>52</v>
      </c>
      <c r="K14" s="30" t="n">
        <v>1085.71000000000004</v>
      </c>
      <c r="L14" s="30">
        <f>K11-K14</f>
        <v>162.860000000000014</v>
      </c>
      <c r="M14" s="30">
        <f>L14/30</f>
        <v>5.42866666666667008</v>
      </c>
      <c r="N14" s="31">
        <f>L14/100*55.41</f>
        <v>90.2407259999999951</v>
      </c>
      <c r="O14" s="39"/>
      <c r="P14" s="33"/>
      <c r="Q14" s="42"/>
      <c r="R14" s="23" t="s">
        <v>52</v>
      </c>
      <c r="S14" s="30" t="n">
        <v>2074.28999999999996</v>
      </c>
      <c r="T14" s="30">
        <f>S11-S14</f>
        <v>171.419999999999987</v>
      </c>
      <c r="U14" s="30">
        <f>T14/30</f>
        <v>5.71400000000000041</v>
      </c>
      <c r="V14" s="31">
        <f>T14/100*44.77</f>
        <v>76.744733999999994</v>
      </c>
      <c r="W14" s="39"/>
      <c r="X14" s="33"/>
      <c r="Y14" s="42"/>
      <c r="Z14" s="23" t="s">
        <v>52</v>
      </c>
      <c r="AA14" s="30" t="n">
        <v>2800</v>
      </c>
      <c r="AB14" s="30">
        <f>AA11-AA14</f>
        <v>127.780000000000001</v>
      </c>
      <c r="AC14" s="30">
        <f>AB14/30</f>
        <v>4.25933333333332964</v>
      </c>
      <c r="AD14" s="31">
        <f>AB14/100*59.31</f>
        <v>75.7863179999999943</v>
      </c>
      <c r="AE14" s="39"/>
      <c r="AF14" s="33"/>
      <c r="AG14" s="42"/>
      <c r="AH14" s="23" t="s">
        <v>52</v>
      </c>
      <c r="AI14" s="30" t="n">
        <v>911.110000000000014</v>
      </c>
      <c r="AJ14" s="30">
        <f>AI11-AI14</f>
        <v>133.330000000000013</v>
      </c>
      <c r="AK14" s="30">
        <f>AJ14/30</f>
        <v>4.44433333333333014</v>
      </c>
      <c r="AL14" s="31">
        <f>AJ14/100*59.31</f>
        <v>79.0780230000000017</v>
      </c>
      <c r="AM14" s="39"/>
      <c r="AN14" s="33"/>
      <c r="AO14" s="42"/>
      <c r="AP14" s="23" t="s">
        <v>52</v>
      </c>
      <c r="AQ14" s="30" t="n">
        <v>2080.55999999999995</v>
      </c>
      <c r="AR14" s="30">
        <f>AQ11-AQ14</f>
        <v>144.439999999999998</v>
      </c>
      <c r="AS14" s="30">
        <f>AR14/30</f>
        <v>4.8146666666666702</v>
      </c>
      <c r="AT14" s="31">
        <f>AR14/100*66.53</f>
        <v>96.0959320000000048</v>
      </c>
      <c r="AU14" s="39"/>
    </row>
    <row r="15" spans="1:47" ht="12.75" customHeight="1">
      <c r="A15" s="40" t="s">
        <v>56</v>
      </c>
      <c r="B15" s="21" t="s">
        <v>50</v>
      </c>
      <c r="C15" s="32" t="n">
        <v>81242.1000000000058</v>
      </c>
      <c r="D15" s="25">
        <f>C15-C12</f>
        <v>169.400000000008987</v>
      </c>
      <c r="E15" s="25">
        <f>D15/31</f>
        <v>5.46451612903254969</v>
      </c>
      <c r="F15" s="26">
        <f>D15*0.2734+5.5</f>
        <v>51.8139600000025027</v>
      </c>
      <c r="G15" s="38">
        <f>SUM(F15:F17)</f>
        <v>144.682319400002996</v>
      </c>
      <c r="H15" s="33"/>
      <c r="I15" s="40" t="s">
        <v>56</v>
      </c>
      <c r="J15" s="21" t="s">
        <v>50</v>
      </c>
      <c r="K15" s="32" t="n">
        <v>83196.8000000000029</v>
      </c>
      <c r="L15" s="25">
        <f>K15-K12</f>
        <v>151.400000000008987</v>
      </c>
      <c r="M15" s="25">
        <f>L15/31</f>
        <v>4.88387096774223028</v>
      </c>
      <c r="N15" s="26">
        <f>L15*0.291+6</f>
        <v>50.0574000000026018</v>
      </c>
      <c r="O15" s="38">
        <f>SUM(N15:N17)</f>
        <v>112.478905800003005</v>
      </c>
      <c r="P15" s="33"/>
      <c r="Q15" s="40" t="s">
        <v>56</v>
      </c>
      <c r="R15" s="21" t="s">
        <v>50</v>
      </c>
      <c r="S15" s="32" t="n">
        <v>85088.8000000000029</v>
      </c>
      <c r="T15" s="25">
        <f>S15-S12</f>
        <v>129.600000000005991</v>
      </c>
      <c r="U15" s="25">
        <f>T15/31</f>
        <v>4.18064516129051977</v>
      </c>
      <c r="V15" s="26">
        <f>T15*0.301+6</f>
        <v>45.0096000000017966</v>
      </c>
      <c r="W15" s="38">
        <f>SUM(V15:V17)</f>
        <v>104.142852000001994</v>
      </c>
      <c r="X15" s="33"/>
      <c r="Y15" s="40" t="s">
        <v>56</v>
      </c>
      <c r="Z15" s="21" t="s">
        <v>50</v>
      </c>
      <c r="AA15" s="32" t="n">
        <v>86898.1000000000058</v>
      </c>
      <c r="AB15" s="25">
        <f>AA15-AA12</f>
        <v>130.700000000012011</v>
      </c>
      <c r="AC15" s="25">
        <f>AB15/31</f>
        <v>4.2161290322584497</v>
      </c>
      <c r="AD15" s="26">
        <f>AB15*0.301+6</f>
        <v>45.3407000000036007</v>
      </c>
      <c r="AE15" s="38">
        <f>SUM(AD15:AD17)</f>
        <v>99.5954980000037011</v>
      </c>
      <c r="AF15" s="33"/>
      <c r="AG15" s="40" t="s">
        <v>56</v>
      </c>
      <c r="AH15" s="21" t="s">
        <v>50</v>
      </c>
      <c r="AI15" s="32" t="n">
        <v>88698.1000000000058</v>
      </c>
      <c r="AJ15" s="25">
        <f>AI15-AI12</f>
        <v>155.400000000008987</v>
      </c>
      <c r="AK15" s="25">
        <f>AJ15/31</f>
        <v>5.01290322580674008</v>
      </c>
      <c r="AL15" s="26">
        <f>AJ15*0.301+9.42</f>
        <v>56.1954000000026994</v>
      </c>
      <c r="AM15" s="38">
        <f>SUM(AL15:AL17)</f>
        <v>152.464006000002996</v>
      </c>
      <c r="AN15" s="33"/>
      <c r="AO15" s="40" t="s">
        <v>56</v>
      </c>
      <c r="AP15" s="21" t="s">
        <v>50</v>
      </c>
      <c r="AQ15" s="32" t="n">
        <v>90498.3999999999942</v>
      </c>
      <c r="AR15" s="25">
        <f>AQ15-AQ12</f>
        <v>144.799999999987989</v>
      </c>
      <c r="AS15" s="25">
        <f>AR15/31</f>
        <v>4.67096774193510011</v>
      </c>
      <c r="AT15" s="26">
        <f>AR15*0.3053+7.06</f>
        <v>51.2674399999962986</v>
      </c>
      <c r="AU15" s="38">
        <f>SUM(AT15:AT17)</f>
        <v>165.678152999996001</v>
      </c>
    </row>
    <row r="16" spans="1:47">
      <c r="A16" s="41"/>
      <c r="B16" s="22" t="s">
        <v>51</v>
      </c>
      <c r="C16" s="27" t="n">
        <v>329415</v>
      </c>
      <c r="D16" s="27">
        <f>C16-C13</f>
        <v>8766</v>
      </c>
      <c r="E16" s="28">
        <f>D16/31</f>
        <v>282.774193548387018</v>
      </c>
      <c r="F16" s="29">
        <f>(D16/1000*1.12+3)*1.07</f>
        <v>13.7151744000000004</v>
      </c>
      <c r="G16" s="33"/>
      <c r="H16" s="33"/>
      <c r="I16" s="41"/>
      <c r="J16" s="22" t="s">
        <v>51</v>
      </c>
      <c r="K16" s="27" t="n">
        <v>430121</v>
      </c>
      <c r="L16" s="27">
        <f>K16-K13</f>
        <v>8457</v>
      </c>
      <c r="M16" s="28">
        <f>L16/31</f>
        <v>272.806451612903004</v>
      </c>
      <c r="N16" s="29">
        <f>(L16/1000*1.12+3)*1.07</f>
        <v>13.3448688000000004</v>
      </c>
      <c r="O16" s="33"/>
      <c r="P16" s="33"/>
      <c r="Q16" s="41"/>
      <c r="R16" s="22" t="s">
        <v>51</v>
      </c>
      <c r="S16" s="27" t="n">
        <v>536831</v>
      </c>
      <c r="T16" s="27">
        <f>S16-S13</f>
        <v>9476</v>
      </c>
      <c r="U16" s="28">
        <f>T16/31</f>
        <v>305.677419354839003</v>
      </c>
      <c r="V16" s="29">
        <f>(T16/1000*1.1+3)*1.07</f>
        <v>14.3632519999999992</v>
      </c>
      <c r="W16" s="33"/>
      <c r="X16" s="33"/>
      <c r="Y16" s="41"/>
      <c r="Z16" s="22" t="s">
        <v>51</v>
      </c>
      <c r="AA16" s="27" t="n">
        <v>646786</v>
      </c>
      <c r="AB16" s="27">
        <f>AA16-AA13</f>
        <v>9773</v>
      </c>
      <c r="AC16" s="28">
        <f>AB16/31</f>
        <v>315.258064516129025</v>
      </c>
      <c r="AD16" s="29">
        <f>(AB16/1000*1.1+3)*1.07</f>
        <v>14.7128209999999999</v>
      </c>
      <c r="AE16" s="33"/>
      <c r="AF16" s="33"/>
      <c r="AG16" s="41"/>
      <c r="AH16" s="22" t="s">
        <v>51</v>
      </c>
      <c r="AI16" s="27" t="n">
        <v>758809</v>
      </c>
      <c r="AJ16" s="27">
        <f>AI16-AI13</f>
        <v>9409</v>
      </c>
      <c r="AK16" s="28">
        <f>AJ16/31</f>
        <v>303.516129032257993</v>
      </c>
      <c r="AL16" s="29">
        <f>(AJ16/1000*1.1+3)*1.07</f>
        <v>14.2843929999999997</v>
      </c>
      <c r="AM16" s="33"/>
      <c r="AN16" s="33"/>
      <c r="AO16" s="41"/>
      <c r="AP16" s="22" t="s">
        <v>51</v>
      </c>
      <c r="AQ16" s="27" t="n">
        <v>875977</v>
      </c>
      <c r="AR16" s="27">
        <f>AQ16-AQ13</f>
        <v>9464</v>
      </c>
      <c r="AS16" s="28">
        <f>AR16/31</f>
        <v>305.290322580645011</v>
      </c>
      <c r="AT16" s="29">
        <f>(AR16/1000*1.1+6.7)*1.07</f>
        <v>18.308128</v>
      </c>
      <c r="AU16" s="33"/>
    </row>
    <row r="17" spans="1:47">
      <c r="A17" s="42"/>
      <c r="B17" s="23" t="s">
        <v>52</v>
      </c>
      <c r="C17" s="30" t="n">
        <v>2985.7199999999998</v>
      </c>
      <c r="D17" s="30">
        <f>C14-C17</f>
        <v>142.849999999999994</v>
      </c>
      <c r="E17" s="30">
        <f>D17/31</f>
        <v>4.6080645161290299</v>
      </c>
      <c r="F17" s="31">
        <f>D17/100*55.41</f>
        <v>79.1531849999999935</v>
      </c>
      <c r="G17" s="39"/>
      <c r="H17" s="33"/>
      <c r="I17" s="42"/>
      <c r="J17" s="23" t="s">
        <v>52</v>
      </c>
      <c r="K17" s="30" t="n">
        <v>997.139999999999986</v>
      </c>
      <c r="L17" s="30">
        <f>K14-K17</f>
        <v>88.5700000000001069</v>
      </c>
      <c r="M17" s="30">
        <f>L17/31</f>
        <v>2.8570967741935501</v>
      </c>
      <c r="N17" s="31">
        <f>L17/100*55.41</f>
        <v>49.0766370000000975</v>
      </c>
      <c r="O17" s="39"/>
      <c r="P17" s="33"/>
      <c r="Q17" s="42"/>
      <c r="R17" s="23" t="s">
        <v>52</v>
      </c>
      <c r="S17" s="30" t="n">
        <v>1974.28999999999996</v>
      </c>
      <c r="T17" s="30">
        <f>S14-S17</f>
        <v>100</v>
      </c>
      <c r="U17" s="30">
        <f>T17/31</f>
        <v>3.22580645161289992</v>
      </c>
      <c r="V17" s="31">
        <f>T17/100*44.77</f>
        <v>44.7700000000000031</v>
      </c>
      <c r="W17" s="39"/>
      <c r="X17" s="33"/>
      <c r="Y17" s="42"/>
      <c r="Z17" s="23" t="s">
        <v>52</v>
      </c>
      <c r="AA17" s="30" t="n">
        <v>2733.32999999999993</v>
      </c>
      <c r="AB17" s="30">
        <f>AA14-AA17</f>
        <v>66.6700000000001012</v>
      </c>
      <c r="AC17" s="30">
        <f>AB17/31</f>
        <v>2.1506451612903299</v>
      </c>
      <c r="AD17" s="31">
        <f>AB17/100*59.31</f>
        <v>39.5419770000001023</v>
      </c>
      <c r="AE17" s="39"/>
      <c r="AF17" s="33"/>
      <c r="AG17" s="42"/>
      <c r="AH17" s="23" t="s">
        <v>52</v>
      </c>
      <c r="AI17" s="30" t="n">
        <v>772.879999999999995</v>
      </c>
      <c r="AJ17" s="30">
        <f>AI14-AI17</f>
        <v>138.22999999999999</v>
      </c>
      <c r="AK17" s="30">
        <f>AJ17/31</f>
        <v>4.45903225806451964</v>
      </c>
      <c r="AL17" s="31">
        <f>AJ17/100*59.31</f>
        <v>81.9842129999999969</v>
      </c>
      <c r="AM17" s="39"/>
      <c r="AN17" s="33"/>
      <c r="AO17" s="42"/>
      <c r="AP17" s="23" t="s">
        <v>52</v>
      </c>
      <c r="AQ17" s="30" t="n">
        <v>1936.1099999999999</v>
      </c>
      <c r="AR17" s="30">
        <f>AQ14-AQ17</f>
        <v>144.449999999999989</v>
      </c>
      <c r="AS17" s="30">
        <f>AR17/31</f>
        <v>4.65967741935484003</v>
      </c>
      <c r="AT17" s="31">
        <f>AR17/100*66.53</f>
        <v>96.1025850000000048</v>
      </c>
      <c r="AU17" s="39"/>
    </row>
    <row r="18" spans="1:47" ht="12.75" customHeight="1">
      <c r="A18" s="40" t="s">
        <v>57</v>
      </c>
      <c r="B18" s="21" t="s">
        <v>50</v>
      </c>
      <c r="C18" s="32" t="n">
        <v>81384.6999999999825</v>
      </c>
      <c r="D18" s="25">
        <f>C18-C15</f>
        <v>142.599999999991013</v>
      </c>
      <c r="E18" s="25">
        <f>D18/30</f>
        <v>4.7533333333330301</v>
      </c>
      <c r="F18" s="26">
        <f>D18*0.2734+5.5</f>
        <v>44.4868399999974997</v>
      </c>
      <c r="G18" s="38">
        <f>SUM(F18:F20)</f>
        <v>97.1737885999974935</v>
      </c>
      <c r="H18" s="33"/>
      <c r="I18" s="40" t="s">
        <v>57</v>
      </c>
      <c r="J18" s="21" t="s">
        <v>50</v>
      </c>
      <c r="K18" s="32" t="n">
        <v>83319.1999999999825</v>
      </c>
      <c r="L18" s="25">
        <f>K18-K15</f>
        <v>122.399999999993994</v>
      </c>
      <c r="M18" s="25">
        <f>L18/30</f>
        <v>4.07999999999980023</v>
      </c>
      <c r="N18" s="26">
        <f>L18*0.291+6</f>
        <v>41.618399999998303</v>
      </c>
      <c r="O18" s="38">
        <f>SUM(N18:N20)</f>
        <v>87.7406943999983042</v>
      </c>
      <c r="P18" s="33"/>
      <c r="Q18" s="40" t="s">
        <v>57</v>
      </c>
      <c r="R18" s="21" t="s">
        <v>50</v>
      </c>
      <c r="S18" s="32" t="n">
        <v>85200</v>
      </c>
      <c r="T18" s="25">
        <f>S18-S15</f>
        <v>111.199999999997004</v>
      </c>
      <c r="U18" s="25">
        <f>T18/30</f>
        <v>3.70666666666657019</v>
      </c>
      <c r="V18" s="26">
        <f>T18*0.301+6</f>
        <v>39.4711999999991008</v>
      </c>
      <c r="W18" s="38">
        <f>SUM(V18:V20)</f>
        <v>79.7863999999991051</v>
      </c>
      <c r="X18" s="33"/>
      <c r="Y18" s="40" t="s">
        <v>57</v>
      </c>
      <c r="Z18" s="21" t="s">
        <v>50</v>
      </c>
      <c r="AA18" s="32" t="n">
        <v>87018.3000000000029</v>
      </c>
      <c r="AB18" s="25">
        <f>AA18-AA15</f>
        <v>120.199999999997004</v>
      </c>
      <c r="AC18" s="25">
        <f>AB18/30</f>
        <v>4.00666666666657001</v>
      </c>
      <c r="AD18" s="26">
        <f>AB18*0.301+6</f>
        <v>42.1801999999990969</v>
      </c>
      <c r="AE18" s="38">
        <f>SUM(AD18:AD20)</f>
        <v>85.4147289999989994</v>
      </c>
      <c r="AF18" s="33"/>
      <c r="AG18" s="40" t="s">
        <v>57</v>
      </c>
      <c r="AH18" s="21" t="s">
        <v>50</v>
      </c>
      <c r="AI18" s="32" t="n">
        <v>88827.8999999999942</v>
      </c>
      <c r="AJ18" s="25">
        <f>AI18-AI15</f>
        <v>129.799999999987989</v>
      </c>
      <c r="AK18" s="25">
        <f>AJ18/30</f>
        <v>4.32666666666627009</v>
      </c>
      <c r="AL18" s="26">
        <f>AJ18*0.301+9.42</f>
        <v>48.4897999999964</v>
      </c>
      <c r="AM18" s="38">
        <f>SUM(AL18:AL20)</f>
        <v>116.737643999995996</v>
      </c>
      <c r="AN18" s="33"/>
      <c r="AO18" s="40" t="s">
        <v>57</v>
      </c>
      <c r="AP18" s="21" t="s">
        <v>50</v>
      </c>
      <c r="AQ18" s="32" t="n">
        <v>90628.8999999999942</v>
      </c>
      <c r="AR18" s="25">
        <f>AQ18-AQ15</f>
        <v>130.5</v>
      </c>
      <c r="AS18" s="25">
        <f>AR18/30</f>
        <v>4.34999999999999964</v>
      </c>
      <c r="AT18" s="26">
        <f>AR18*0.3053+7.06</f>
        <v>46.9016499999999965</v>
      </c>
      <c r="AU18" s="38">
        <f>SUM(AT18:AT20)</f>
        <v>115.382085000000004</v>
      </c>
    </row>
    <row r="19" spans="1:47">
      <c r="A19" s="41"/>
      <c r="B19" s="22" t="s">
        <v>51</v>
      </c>
      <c r="C19" s="27" t="n">
        <v>337674</v>
      </c>
      <c r="D19" s="27">
        <f>C19-C16</f>
        <v>8259</v>
      </c>
      <c r="E19" s="28">
        <f>D19/30</f>
        <v>275.300000000000011</v>
      </c>
      <c r="F19" s="29">
        <f>(D19/1000*1.12+3)*1.07</f>
        <v>13.1075856000000002</v>
      </c>
      <c r="G19" s="33"/>
      <c r="H19" s="33"/>
      <c r="I19" s="41"/>
      <c r="J19" s="22" t="s">
        <v>51</v>
      </c>
      <c r="K19" s="27" t="n">
        <v>438187</v>
      </c>
      <c r="L19" s="27">
        <f>K19-K16</f>
        <v>8066</v>
      </c>
      <c r="M19" s="28">
        <f>L19/30</f>
        <v>268.866666666667015</v>
      </c>
      <c r="N19" s="29">
        <f>(L19/1000*1.12+3)*1.07</f>
        <v>12.8762944000000008</v>
      </c>
      <c r="O19" s="33"/>
      <c r="P19" s="33"/>
      <c r="Q19" s="41"/>
      <c r="R19" s="22" t="s">
        <v>51</v>
      </c>
      <c r="S19" s="27" t="n">
        <v>545530</v>
      </c>
      <c r="T19" s="27">
        <f>S19-S16</f>
        <v>8699</v>
      </c>
      <c r="U19" s="28">
        <f>T19/30</f>
        <v>289.966666666666981</v>
      </c>
      <c r="V19" s="29">
        <f>(T19/1000*1.1+3)*1.07</f>
        <v>13.4487229999999993</v>
      </c>
      <c r="W19" s="33"/>
      <c r="X19" s="33"/>
      <c r="Y19" s="41"/>
      <c r="Z19" s="22" t="s">
        <v>51</v>
      </c>
      <c r="AA19" s="27" t="n">
        <v>656997</v>
      </c>
      <c r="AB19" s="27">
        <f>AA19-AA16</f>
        <v>10211</v>
      </c>
      <c r="AC19" s="28">
        <f>AB19/30</f>
        <v>340.366666666667015</v>
      </c>
      <c r="AD19" s="29">
        <f>(AB19/1000*1.1+3)*1.07</f>
        <v>15.2283469999999994</v>
      </c>
      <c r="AE19" s="33"/>
      <c r="AF19" s="33"/>
      <c r="AG19" s="41"/>
      <c r="AH19" s="22" t="s">
        <v>51</v>
      </c>
      <c r="AI19" s="27" t="n">
        <v>768281</v>
      </c>
      <c r="AJ19" s="27">
        <f>AI19-AI16</f>
        <v>9472</v>
      </c>
      <c r="AK19" s="28">
        <f>AJ19/30</f>
        <v>315.733333333333007</v>
      </c>
      <c r="AL19" s="29">
        <f>(AJ19/1000*1.1+3)*1.07</f>
        <v>14.3585440000000002</v>
      </c>
      <c r="AM19" s="33"/>
      <c r="AN19" s="33"/>
      <c r="AO19" s="41"/>
      <c r="AP19" s="22" t="s">
        <v>51</v>
      </c>
      <c r="AQ19" s="27" t="n">
        <v>885820</v>
      </c>
      <c r="AR19" s="27">
        <f>AQ19-AQ16</f>
        <v>9843</v>
      </c>
      <c r="AS19" s="28">
        <f>AR19/30</f>
        <v>328.100000000000023</v>
      </c>
      <c r="AT19" s="29">
        <f>(AR19/1000*1.1+6.7)*1.07</f>
        <v>18.7542110000000015</v>
      </c>
      <c r="AU19" s="33"/>
    </row>
    <row r="20" spans="1:47">
      <c r="A20" s="42"/>
      <c r="B20" s="23" t="s">
        <v>52</v>
      </c>
      <c r="C20" s="30" t="n">
        <v>2914.28999999999996</v>
      </c>
      <c r="D20" s="30">
        <f>C17-C20</f>
        <v>71.4299999999998931</v>
      </c>
      <c r="E20" s="30">
        <f>D20/30</f>
        <v>2.38099999999999978</v>
      </c>
      <c r="F20" s="31">
        <f>D20/100*55.41</f>
        <v>39.5793630000000007</v>
      </c>
      <c r="G20" s="39"/>
      <c r="H20" s="33"/>
      <c r="I20" s="42"/>
      <c r="J20" s="23" t="s">
        <v>52</v>
      </c>
      <c r="K20" s="30" t="n">
        <v>937.139999999999986</v>
      </c>
      <c r="L20" s="30">
        <f>K17-K20</f>
        <v>60</v>
      </c>
      <c r="M20" s="30">
        <f>L20/30</f>
        <v>2</v>
      </c>
      <c r="N20" s="31">
        <f>L20/100*55.41</f>
        <v>33.2460000000000022</v>
      </c>
      <c r="O20" s="39"/>
      <c r="P20" s="33"/>
      <c r="Q20" s="42"/>
      <c r="R20" s="23" t="s">
        <v>52</v>
      </c>
      <c r="S20" s="30" t="n">
        <v>1914.27999999999997</v>
      </c>
      <c r="T20" s="30">
        <f>S17-S20</f>
        <v>60.009999999999998</v>
      </c>
      <c r="U20" s="30">
        <f>T20/30</f>
        <v>2.00033333333333019</v>
      </c>
      <c r="V20" s="31">
        <f>T20/100*44.77</f>
        <v>26.8664769999999997</v>
      </c>
      <c r="W20" s="39"/>
      <c r="X20" s="33"/>
      <c r="Y20" s="42"/>
      <c r="Z20" s="23" t="s">
        <v>52</v>
      </c>
      <c r="AA20" s="30" t="n">
        <v>2686.11000000000013</v>
      </c>
      <c r="AB20" s="30">
        <f>AA17-AA20</f>
        <v>47.2199999999997999</v>
      </c>
      <c r="AC20" s="30">
        <f>AB20/30</f>
        <v>1.57399999999999007</v>
      </c>
      <c r="AD20" s="31">
        <f>AB20/100*59.31</f>
        <v>28.0061819999998995</v>
      </c>
      <c r="AE20" s="39"/>
      <c r="AF20" s="33"/>
      <c r="AG20" s="42"/>
      <c r="AH20" s="23" t="s">
        <v>52</v>
      </c>
      <c r="AI20" s="30" t="n">
        <v>3852.7800000000002</v>
      </c>
      <c r="AJ20" s="30" t="n">
        <v>81</v>
      </c>
      <c r="AK20" s="30">
        <f>AJ20/30</f>
        <v>2.70000000000000018</v>
      </c>
      <c r="AL20" s="31">
        <f>AJ20/100*66.53</f>
        <v>53.8892999999999986</v>
      </c>
      <c r="AM20" s="39"/>
      <c r="AN20" s="33"/>
      <c r="AO20" s="42"/>
      <c r="AP20" s="23" t="s">
        <v>52</v>
      </c>
      <c r="AQ20" s="30" t="n">
        <v>3952.7800000000002</v>
      </c>
      <c r="AR20" s="30" t="n">
        <v>93.3299999999999983</v>
      </c>
      <c r="AS20" s="30">
        <f>AR20/30</f>
        <v>3.11100000000000021</v>
      </c>
      <c r="AT20" s="31">
        <f>AR20/100*53.28</f>
        <v>49.726224000000002</v>
      </c>
      <c r="AU20" s="39"/>
    </row>
    <row r="21" spans="1:47" ht="12.75" customHeight="1">
      <c r="A21" s="40" t="s">
        <v>58</v>
      </c>
      <c r="B21" s="21" t="s">
        <v>50</v>
      </c>
      <c r="C21" s="32" t="n">
        <v>81519</v>
      </c>
      <c r="D21" s="25">
        <f>C21-C18</f>
        <v>134.300000000002996</v>
      </c>
      <c r="E21" s="25">
        <f>D21/31</f>
        <v>4.33225806451623008</v>
      </c>
      <c r="F21" s="26">
        <f>D21*0.2734+5.5</f>
        <v>42.2176200000007995</v>
      </c>
      <c r="G21" s="38">
        <f>SUM(F21:F23)</f>
        <v>87.4174526000008996</v>
      </c>
      <c r="H21" s="33"/>
      <c r="I21" s="40" t="s">
        <v>58</v>
      </c>
      <c r="J21" s="21" t="s">
        <v>50</v>
      </c>
      <c r="K21" s="32" t="n">
        <v>83451.5</v>
      </c>
      <c r="L21" s="25">
        <f>K21-K18</f>
        <v>132.300000000002996</v>
      </c>
      <c r="M21" s="25">
        <f>L21/31</f>
        <v>4.26774193548397029</v>
      </c>
      <c r="N21" s="26">
        <f>L21*0.291+6</f>
        <v>44.4993000000009005</v>
      </c>
      <c r="O21" s="38">
        <f>SUM(N21:N23)</f>
        <v>85.7299066000008025</v>
      </c>
      <c r="P21" s="33"/>
      <c r="Q21" s="40" t="s">
        <v>58</v>
      </c>
      <c r="R21" s="21" t="s">
        <v>50</v>
      </c>
      <c r="S21" s="32" t="n">
        <v>85318.3000000000029</v>
      </c>
      <c r="T21" s="25">
        <f>S21-S18</f>
        <v>118.300000000002996</v>
      </c>
      <c r="U21" s="25">
        <f>T21/31</f>
        <v>3.8161290322581598</v>
      </c>
      <c r="V21" s="26">
        <f>T21*0.301+6</f>
        <v>41.6083000000009022</v>
      </c>
      <c r="W21" s="38">
        <f>SUM(V21:V23)</f>
        <v>80.743354000000906</v>
      </c>
      <c r="X21" s="33"/>
      <c r="Y21" s="40" t="s">
        <v>58</v>
      </c>
      <c r="Z21" s="21" t="s">
        <v>50</v>
      </c>
      <c r="AA21" s="32" t="n">
        <v>87141.8000000000029</v>
      </c>
      <c r="AB21" s="25">
        <f>AA21-AA18</f>
        <v>123.5</v>
      </c>
      <c r="AC21" s="25">
        <f>AB21/31</f>
        <v>3.98387096774193985</v>
      </c>
      <c r="AD21" s="26">
        <f>AB21*0.301+6</f>
        <v>43.1734999999999971</v>
      </c>
      <c r="AE21" s="38">
        <f>SUM(AD21:AD23)</f>
        <v>85.9912120000000044</v>
      </c>
      <c r="AF21" s="33"/>
      <c r="AG21" s="40" t="s">
        <v>58</v>
      </c>
      <c r="AH21" s="21" t="s">
        <v>50</v>
      </c>
      <c r="AI21" s="32" t="n">
        <v>88968</v>
      </c>
      <c r="AJ21" s="25">
        <f>AI21-AI18</f>
        <v>140.100000000005991</v>
      </c>
      <c r="AK21" s="25">
        <f>AJ21/31</f>
        <v>4.51935483870987031</v>
      </c>
      <c r="AL21" s="26">
        <f>AJ21*0.301+9.42</f>
        <v>51.5901000000017973</v>
      </c>
      <c r="AM21" s="38">
        <f>SUM(AL21:AL23)</f>
        <v>108.959594000001999</v>
      </c>
      <c r="AN21" s="33"/>
      <c r="AO21" s="40" t="s">
        <v>58</v>
      </c>
      <c r="AP21" s="21" t="s">
        <v>50</v>
      </c>
      <c r="AQ21" s="32" t="n">
        <v>90755.3000000000029</v>
      </c>
      <c r="AR21" s="25">
        <f>AQ21-AQ18</f>
        <v>126.400000000009001</v>
      </c>
      <c r="AS21" s="25">
        <f>AR21/31</f>
        <v>4.07741935483899987</v>
      </c>
      <c r="AT21" s="26">
        <f>AR21*0.3053+7.06</f>
        <v>45.6499200000028011</v>
      </c>
      <c r="AU21" s="38">
        <f>SUM(AT21:AT23)</f>
        <v>103.920402000002994</v>
      </c>
    </row>
    <row r="22" spans="1:47">
      <c r="A22" s="41"/>
      <c r="B22" s="22" t="s">
        <v>51</v>
      </c>
      <c r="C22" s="27" t="n">
        <v>346288</v>
      </c>
      <c r="D22" s="27">
        <f>C22-C19</f>
        <v>8614</v>
      </c>
      <c r="E22" s="28">
        <f>D22/31</f>
        <v>277.870967741935999</v>
      </c>
      <c r="F22" s="29">
        <f>(D22/1000*1.12+3)*1.07</f>
        <v>13.5330176000000009</v>
      </c>
      <c r="G22" s="33"/>
      <c r="H22" s="33"/>
      <c r="I22" s="41"/>
      <c r="J22" s="22" t="s">
        <v>51</v>
      </c>
      <c r="K22" s="27" t="n">
        <v>447456</v>
      </c>
      <c r="L22" s="27">
        <f>K22-K19</f>
        <v>9269</v>
      </c>
      <c r="M22" s="28">
        <f>L22/31</f>
        <v>299</v>
      </c>
      <c r="N22" s="29">
        <f>(L22/1000*1.12+3)*1.07</f>
        <v>14.3179695999999996</v>
      </c>
      <c r="O22" s="33"/>
      <c r="P22" s="33"/>
      <c r="Q22" s="41"/>
      <c r="R22" s="22" t="s">
        <v>51</v>
      </c>
      <c r="S22" s="27" t="n">
        <v>554318</v>
      </c>
      <c r="T22" s="27">
        <f>S22-S19</f>
        <v>8788</v>
      </c>
      <c r="U22" s="28">
        <f>T22/31</f>
        <v>283.483870967742007</v>
      </c>
      <c r="V22" s="29">
        <f>(T22/1000*1.1+3)*1.07</f>
        <v>13.5534759999999999</v>
      </c>
      <c r="W22" s="33"/>
      <c r="X22" s="33"/>
      <c r="Y22" s="41"/>
      <c r="Z22" s="22" t="s">
        <v>51</v>
      </c>
      <c r="AA22" s="27" t="n">
        <v>665453</v>
      </c>
      <c r="AB22" s="27">
        <f>AA22-AA19</f>
        <v>8456</v>
      </c>
      <c r="AC22" s="28">
        <f>AB22/31</f>
        <v>272.774193548387018</v>
      </c>
      <c r="AD22" s="29">
        <f>(AB22/1000*1.1+3)*1.07</f>
        <v>13.1627120000000009</v>
      </c>
      <c r="AE22" s="33"/>
      <c r="AF22" s="33"/>
      <c r="AG22" s="41"/>
      <c r="AH22" s="22" t="s">
        <v>51</v>
      </c>
      <c r="AI22" s="27" t="n">
        <v>778182</v>
      </c>
      <c r="AJ22" s="27">
        <f>AI22-AI19</f>
        <v>9901</v>
      </c>
      <c r="AK22" s="28">
        <f>AJ22/31</f>
        <v>319.387096774193992</v>
      </c>
      <c r="AL22" s="29">
        <f>(AJ22/1000*1.1+3)*1.07</f>
        <v>14.8634769999999996</v>
      </c>
      <c r="AM22" s="33"/>
      <c r="AN22" s="33"/>
      <c r="AO22" s="41"/>
      <c r="AP22" s="22" t="s">
        <v>51</v>
      </c>
      <c r="AQ22" s="27" t="n">
        <v>895286</v>
      </c>
      <c r="AR22" s="27">
        <f>AQ22-AQ19</f>
        <v>9466</v>
      </c>
      <c r="AS22" s="28">
        <f>AR22/31</f>
        <v>305.354838709676983</v>
      </c>
      <c r="AT22" s="29">
        <f>(AR22/1000*1.1+6.7)*1.07</f>
        <v>18.3104820000000004</v>
      </c>
      <c r="AU22" s="33"/>
    </row>
    <row r="23" spans="1:47">
      <c r="A23" s="42"/>
      <c r="B23" s="23" t="s">
        <v>52</v>
      </c>
      <c r="C23" s="30" t="n">
        <v>2857.13999999999987</v>
      </c>
      <c r="D23" s="30">
        <f>C20-C23</f>
        <v>57.1500000000000981</v>
      </c>
      <c r="E23" s="30">
        <f>D23/31</f>
        <v>1.84354838709677988</v>
      </c>
      <c r="F23" s="31">
        <f>D23/100*55.41</f>
        <v>31.6668150000000992</v>
      </c>
      <c r="G23" s="39"/>
      <c r="H23" s="33"/>
      <c r="I23" s="42"/>
      <c r="J23" s="23" t="s">
        <v>52</v>
      </c>
      <c r="K23" s="30" t="n">
        <v>888.57000000000005</v>
      </c>
      <c r="L23" s="30">
        <f>K20-K23</f>
        <v>48.5699999999999008</v>
      </c>
      <c r="M23" s="30">
        <f>L23/31</f>
        <v>1.5667741935483801</v>
      </c>
      <c r="N23" s="31">
        <f>L23/100*55.41</f>
        <v>26.9126369999999007</v>
      </c>
      <c r="O23" s="39"/>
      <c r="P23" s="33"/>
      <c r="Q23" s="42"/>
      <c r="R23" s="23" t="s">
        <v>52</v>
      </c>
      <c r="S23" s="30" t="n">
        <v>1857.1400000000001</v>
      </c>
      <c r="T23" s="30">
        <f>S20-S23</f>
        <v>57.1399999999999011</v>
      </c>
      <c r="U23" s="30">
        <f>T23/31</f>
        <v>1.84322580645161</v>
      </c>
      <c r="V23" s="31">
        <f>T23/100*44.77</f>
        <v>25.5815780000000004</v>
      </c>
      <c r="W23" s="39"/>
      <c r="X23" s="33"/>
      <c r="Y23" s="42"/>
      <c r="Z23" s="23" t="s">
        <v>52</v>
      </c>
      <c r="AA23" s="30" t="n">
        <v>2636.11000000000013</v>
      </c>
      <c r="AB23" s="30">
        <f>AA20-AA23</f>
        <v>50</v>
      </c>
      <c r="AC23" s="30">
        <f>AB23/31</f>
        <v>1.61290322580645</v>
      </c>
      <c r="AD23" s="31">
        <f>AB23/100*59.31</f>
        <v>29.6550000000000011</v>
      </c>
      <c r="AE23" s="39"/>
      <c r="AF23" s="33"/>
      <c r="AG23" s="42"/>
      <c r="AH23" s="23" t="s">
        <v>52</v>
      </c>
      <c r="AI23" s="30" t="n">
        <v>3788.88999999999987</v>
      </c>
      <c r="AJ23" s="30">
        <f>AI20-AI23</f>
        <v>63.890000000000299</v>
      </c>
      <c r="AK23" s="30">
        <f>AJ23/31</f>
        <v>2.06096774193549015</v>
      </c>
      <c r="AL23" s="31">
        <f>AJ23/100*66.53</f>
        <v>42.5060170000001989</v>
      </c>
      <c r="AM23" s="39"/>
      <c r="AN23" s="33"/>
      <c r="AO23" s="42"/>
      <c r="AP23" s="23" t="s">
        <v>52</v>
      </c>
      <c r="AQ23" s="30" t="n">
        <v>3877.7800000000002</v>
      </c>
      <c r="AR23" s="30">
        <f>AQ20-AQ23</f>
        <v>75</v>
      </c>
      <c r="AS23" s="30">
        <f>AR23/31</f>
        <v>2.41935483870968016</v>
      </c>
      <c r="AT23" s="31">
        <f>AR23/100*53.28</f>
        <v>39.9600000000000009</v>
      </c>
      <c r="AU23" s="39"/>
    </row>
    <row r="24" spans="1:47" ht="12.75" customHeight="1">
      <c r="A24" s="40" t="s">
        <v>59</v>
      </c>
      <c r="B24" s="21" t="s">
        <v>50</v>
      </c>
      <c r="C24" s="32" t="n">
        <v>81659.8999999999942</v>
      </c>
      <c r="D24" s="25">
        <f>C24-C21</f>
        <v>140.899999999994009</v>
      </c>
      <c r="E24" s="25">
        <f>D24/31</f>
        <v>4.54516129032239036</v>
      </c>
      <c r="F24" s="26">
        <f>D24*0.2734+5.5</f>
        <v>44.0220599999983975</v>
      </c>
      <c r="G24" s="38">
        <f>SUM(F24:F26)</f>
        <v>81.1719795999981955</v>
      </c>
      <c r="H24" s="33"/>
      <c r="I24" s="40" t="s">
        <v>59</v>
      </c>
      <c r="J24" s="21" t="s">
        <v>50</v>
      </c>
      <c r="K24" s="32" t="n">
        <v>83597.1999999999825</v>
      </c>
      <c r="L24" s="25">
        <f>K24-K21</f>
        <v>145.699999999997004</v>
      </c>
      <c r="M24" s="25">
        <f>L24/31</f>
        <v>4.69999999999989981</v>
      </c>
      <c r="N24" s="26">
        <f>L24*0.291+6</f>
        <v>48.3986999999991028</v>
      </c>
      <c r="O24" s="38">
        <f>SUM(N24:N26)</f>
        <v>87.9966445999991009</v>
      </c>
      <c r="P24" s="33"/>
      <c r="Q24" s="40" t="s">
        <v>59</v>
      </c>
      <c r="R24" s="21" t="s">
        <v>50</v>
      </c>
      <c r="S24" s="32" t="n">
        <v>85441.6999999999825</v>
      </c>
      <c r="T24" s="25">
        <f>S24-S21</f>
        <v>123.399999999993994</v>
      </c>
      <c r="U24" s="25">
        <f>T24/31</f>
        <v>3.98064516129013022</v>
      </c>
      <c r="V24" s="26">
        <f>T24*0.301+6</f>
        <v>43.1433999999982021</v>
      </c>
      <c r="W24" s="38">
        <f>SUM(V24:V26)</f>
        <v>82.7374839999983038</v>
      </c>
      <c r="X24" s="33"/>
      <c r="Y24" s="40" t="s">
        <v>59</v>
      </c>
      <c r="Z24" s="21" t="s">
        <v>50</v>
      </c>
      <c r="AA24" s="32" t="n">
        <v>87264.5</v>
      </c>
      <c r="AB24" s="25">
        <f>AA24-AA21</f>
        <v>122.699999999997004</v>
      </c>
      <c r="AC24" s="25">
        <f>AB24/31</f>
        <v>3.95806451612893984</v>
      </c>
      <c r="AD24" s="26">
        <f>AB24*0.301+6</f>
        <v>42.9326999999991017</v>
      </c>
      <c r="AE24" s="38">
        <f>SUM(AD24:AD26)</f>
        <v>91.9090839999991971</v>
      </c>
      <c r="AF24" s="33"/>
      <c r="AG24" s="40" t="s">
        <v>59</v>
      </c>
      <c r="AH24" s="21" t="s">
        <v>50</v>
      </c>
      <c r="AI24" s="32" t="n">
        <v>89094.3000000000029</v>
      </c>
      <c r="AJ24" s="25">
        <f>AI24-AI21</f>
        <v>126.300000000002996</v>
      </c>
      <c r="AK24" s="25">
        <f>AJ24/31</f>
        <v>4.07419354838719006</v>
      </c>
      <c r="AL24" s="26">
        <f>AJ24*0.301+9.42</f>
        <v>47.4363000000008981</v>
      </c>
      <c r="AM24" s="38">
        <f>SUM(AL24:AL26)</f>
        <v>99.5639800000008961</v>
      </c>
      <c r="AN24" s="33"/>
      <c r="AO24" s="40" t="s">
        <v>59</v>
      </c>
      <c r="AP24" s="21" t="s">
        <v>50</v>
      </c>
      <c r="AQ24" s="32" t="n">
        <v>90878.1999999999971</v>
      </c>
      <c r="AR24" s="25">
        <f>AQ24-AQ21</f>
        <v>122.899999999993994</v>
      </c>
      <c r="AS24" s="25">
        <f>AR24/31</f>
        <v>3.96451612903205977</v>
      </c>
      <c r="AT24" s="26">
        <f>AR24*0.3053+7.06</f>
        <v>44.581369999998202</v>
      </c>
      <c r="AU24" s="38">
        <f>SUM(AT24:AT26)</f>
        <v>89.1693359999981965</v>
      </c>
    </row>
    <row r="25" spans="1:47">
      <c r="A25" s="41"/>
      <c r="B25" s="22" t="s">
        <v>51</v>
      </c>
      <c r="C25" s="27" t="n">
        <v>354792</v>
      </c>
      <c r="D25" s="27">
        <f>C25-C22</f>
        <v>8504</v>
      </c>
      <c r="E25" s="28">
        <f>D25/31</f>
        <v>274.322580645160997</v>
      </c>
      <c r="F25" s="29">
        <f>(D25/1000*1.12+3)*1.07</f>
        <v>13.4011935999999992</v>
      </c>
      <c r="G25" s="33"/>
      <c r="H25" s="33"/>
      <c r="I25" s="41"/>
      <c r="J25" s="22" t="s">
        <v>51</v>
      </c>
      <c r="K25" s="27" t="n">
        <v>456685</v>
      </c>
      <c r="L25" s="27">
        <f>K25-K22</f>
        <v>9229</v>
      </c>
      <c r="M25" s="28">
        <f>L25/31</f>
        <v>297.709677419354989</v>
      </c>
      <c r="N25" s="29">
        <f>(L25/1000*1.12+3)*1.07</f>
        <v>14.2700335999999997</v>
      </c>
      <c r="O25" s="33"/>
      <c r="P25" s="33"/>
      <c r="Q25" s="41"/>
      <c r="R25" s="22" t="s">
        <v>51</v>
      </c>
      <c r="S25" s="27" t="n">
        <v>563496</v>
      </c>
      <c r="T25" s="27">
        <f>S25-S22</f>
        <v>9178</v>
      </c>
      <c r="U25" s="28">
        <f>T25/31</f>
        <v>296.064516129031972</v>
      </c>
      <c r="V25" s="29">
        <f>(T25/1000*1.1+3)*1.07</f>
        <v>14.0125060000000001</v>
      </c>
      <c r="W25" s="33"/>
      <c r="X25" s="33"/>
      <c r="Y25" s="41"/>
      <c r="Z25" s="22" t="s">
        <v>51</v>
      </c>
      <c r="AA25" s="27" t="n">
        <v>674949</v>
      </c>
      <c r="AB25" s="27">
        <f>AA25-AA22</f>
        <v>9496</v>
      </c>
      <c r="AC25" s="28">
        <f>AB25/31</f>
        <v>306.322580645160997</v>
      </c>
      <c r="AD25" s="29">
        <f>(AB25/1000*1.1+3)*1.07</f>
        <v>14.3867919999999998</v>
      </c>
      <c r="AE25" s="33"/>
      <c r="AF25" s="33"/>
      <c r="AG25" s="41"/>
      <c r="AH25" s="22" t="s">
        <v>51</v>
      </c>
      <c r="AI25" s="27" t="n">
        <v>788338</v>
      </c>
      <c r="AJ25" s="27">
        <f>AI25-AI22</f>
        <v>10156</v>
      </c>
      <c r="AK25" s="28">
        <f>AJ25/31</f>
        <v>327.612903225806974</v>
      </c>
      <c r="AL25" s="29">
        <f>(AJ25/1000*1.1+3)*1.07</f>
        <v>15.1636120000000005</v>
      </c>
      <c r="AM25" s="33"/>
      <c r="AN25" s="33"/>
      <c r="AO25" s="41"/>
      <c r="AP25" s="22" t="s">
        <v>51</v>
      </c>
      <c r="AQ25" s="27" t="n">
        <v>904444</v>
      </c>
      <c r="AR25" s="27">
        <f>AQ25-AQ22</f>
        <v>9158</v>
      </c>
      <c r="AS25" s="28">
        <f>AR25/31</f>
        <v>295.419354838709978</v>
      </c>
      <c r="AT25" s="29">
        <f>(AR25/1000*1.1+6.7)*1.07</f>
        <v>17.947966000000001</v>
      </c>
      <c r="AU25" s="33"/>
    </row>
    <row r="26" spans="1:47">
      <c r="A26" s="42"/>
      <c r="B26" s="23" t="s">
        <v>52</v>
      </c>
      <c r="C26" s="30" t="n">
        <v>2814.2800000000002</v>
      </c>
      <c r="D26" s="30">
        <f>C23-C26</f>
        <v>42.859999999999701</v>
      </c>
      <c r="E26" s="30">
        <f>D26/31</f>
        <v>1.38258064516128009</v>
      </c>
      <c r="F26" s="31">
        <f>D26/100*55.41</f>
        <v>23.7487259999997988</v>
      </c>
      <c r="G26" s="39"/>
      <c r="H26" s="33"/>
      <c r="I26" s="42"/>
      <c r="J26" s="23" t="s">
        <v>52</v>
      </c>
      <c r="K26" s="30" t="n">
        <v>842.860000000000014</v>
      </c>
      <c r="L26" s="30">
        <f>K23-K26</f>
        <v>45.7100000000000009</v>
      </c>
      <c r="M26" s="30">
        <f>L26/31</f>
        <v>1.47451612903225993</v>
      </c>
      <c r="N26" s="31">
        <f>L26/100*55.41</f>
        <v>25.3279110000000003</v>
      </c>
      <c r="O26" s="39"/>
      <c r="P26" s="33"/>
      <c r="Q26" s="42"/>
      <c r="R26" s="23" t="s">
        <v>52</v>
      </c>
      <c r="S26" s="30" t="n">
        <v>1800</v>
      </c>
      <c r="T26" s="30">
        <f>S23-S26</f>
        <v>57.1400000000001</v>
      </c>
      <c r="U26" s="30">
        <f>T26/31</f>
        <v>1.84322580645162013</v>
      </c>
      <c r="V26" s="31">
        <f>T26/100*44.77</f>
        <v>25.5815780000000998</v>
      </c>
      <c r="W26" s="39"/>
      <c r="X26" s="33"/>
      <c r="Y26" s="42"/>
      <c r="Z26" s="23" t="s">
        <v>52</v>
      </c>
      <c r="AA26" s="30" t="n">
        <v>2577.78999999999996</v>
      </c>
      <c r="AB26" s="30">
        <f>AA23-AA26</f>
        <v>58.3200000000001992</v>
      </c>
      <c r="AC26" s="30">
        <f>AB26/31</f>
        <v>1.8812903225806501</v>
      </c>
      <c r="AD26" s="31">
        <f>AB26/100*59.31</f>
        <v>34.5895920000001027</v>
      </c>
      <c r="AE26" s="39"/>
      <c r="AF26" s="33"/>
      <c r="AG26" s="42"/>
      <c r="AH26" s="23" t="s">
        <v>52</v>
      </c>
      <c r="AI26" s="30" t="n">
        <v>3733.32999999999993</v>
      </c>
      <c r="AJ26" s="30">
        <f>AI23-AI26</f>
        <v>55.5600000000000023</v>
      </c>
      <c r="AK26" s="30">
        <f>AJ26/31</f>
        <v>1.79225806451612986</v>
      </c>
      <c r="AL26" s="31">
        <f>AJ26/100*66.53</f>
        <v>36.9640679999999975</v>
      </c>
      <c r="AM26" s="39"/>
      <c r="AN26" s="33"/>
      <c r="AO26" s="42"/>
      <c r="AP26" s="23" t="s">
        <v>52</v>
      </c>
      <c r="AQ26" s="30" t="n">
        <v>3827.7800000000002</v>
      </c>
      <c r="AR26" s="30">
        <f>AQ23-AQ26</f>
        <v>50</v>
      </c>
      <c r="AS26" s="30">
        <f>AR26/31</f>
        <v>1.61290322580645</v>
      </c>
      <c r="AT26" s="31">
        <f>AR26/100*53.28</f>
        <v>26.6400000000000006</v>
      </c>
      <c r="AU26" s="39"/>
    </row>
    <row r="27" spans="1:47" ht="12.75" customHeight="1">
      <c r="A27" s="40" t="s">
        <v>60</v>
      </c>
      <c r="B27" s="21" t="s">
        <v>50</v>
      </c>
      <c r="C27" s="32" t="n">
        <v>81809.3999999999942</v>
      </c>
      <c r="D27" s="25">
        <f>C27-C24</f>
        <v>149.5</v>
      </c>
      <c r="E27" s="25">
        <f>D27/30</f>
        <v>4.98333333333332984</v>
      </c>
      <c r="F27" s="26">
        <f>D27*0.2734+5.5</f>
        <v>46.3733000000000004</v>
      </c>
      <c r="G27" s="38">
        <f>SUM(F27:F29)</f>
        <v>116.177661000000001</v>
      </c>
      <c r="H27" s="33"/>
      <c r="I27" s="40" t="s">
        <v>60</v>
      </c>
      <c r="J27" s="21" t="s">
        <v>50</v>
      </c>
      <c r="K27" s="32" t="n">
        <v>83729.1999999999825</v>
      </c>
      <c r="L27" s="25">
        <f>K27-K24</f>
        <v>132</v>
      </c>
      <c r="M27" s="25">
        <f>L27/30</f>
        <v>4.40000000000000036</v>
      </c>
      <c r="N27" s="26">
        <f>L27*0.291+6</f>
        <v>44.411999999999999</v>
      </c>
      <c r="O27" s="38">
        <f>SUM(N27:N29)</f>
        <v>90.2074824000000035</v>
      </c>
      <c r="P27" s="33"/>
      <c r="Q27" s="40" t="s">
        <v>60</v>
      </c>
      <c r="R27" s="21" t="s">
        <v>50</v>
      </c>
      <c r="S27" s="32" t="n">
        <v>85580.3999999999942</v>
      </c>
      <c r="T27" s="25">
        <f>S27-S24</f>
        <v>138.699999999997004</v>
      </c>
      <c r="U27" s="25">
        <f>T27/30</f>
        <v>4.62333333333323004</v>
      </c>
      <c r="V27" s="26">
        <f>T27*0.301+6</f>
        <v>47.7486999999990971</v>
      </c>
      <c r="W27" s="38">
        <f>SUM(V27:V29)</f>
        <v>107.291382999999001</v>
      </c>
      <c r="X27" s="33"/>
      <c r="Y27" s="40" t="s">
        <v>60</v>
      </c>
      <c r="Z27" s="21" t="s">
        <v>50</v>
      </c>
      <c r="AA27" s="32" t="n">
        <v>87397.1000000000058</v>
      </c>
      <c r="AB27" s="25">
        <f>AA27-AA24</f>
        <v>132.600000000005991</v>
      </c>
      <c r="AC27" s="25">
        <f>AB27/30</f>
        <v>4.42000000000019977</v>
      </c>
      <c r="AD27" s="26">
        <f>AB27*0.301+6</f>
        <v>45.9126000000018024</v>
      </c>
      <c r="AE27" s="38">
        <f>SUM(AD27:AD29)</f>
        <v>102.970694000001998</v>
      </c>
      <c r="AF27" s="33"/>
      <c r="AG27" s="40" t="s">
        <v>60</v>
      </c>
      <c r="AH27" s="21" t="s">
        <v>50</v>
      </c>
      <c r="AI27" s="32" t="n">
        <v>89237.5</v>
      </c>
      <c r="AJ27" s="25">
        <f>AI27-AI24</f>
        <v>143.199999999997004</v>
      </c>
      <c r="AK27" s="25">
        <f>AJ27/30</f>
        <v>4.7733333333332304</v>
      </c>
      <c r="AL27" s="26">
        <f>AJ27*0.301+9.42</f>
        <v>52.5231999999991004</v>
      </c>
      <c r="AM27" s="38">
        <f>SUM(AL27:AL29)</f>
        <v>128.402207999999007</v>
      </c>
      <c r="AN27" s="33"/>
      <c r="AO27" s="40" t="s">
        <v>60</v>
      </c>
      <c r="AP27" s="21" t="s">
        <v>50</v>
      </c>
      <c r="AQ27" s="32"/>
      <c r="AR27" s="25">
        <f>AQ27-AQ24</f>
        <v>-90878.1999999999971</v>
      </c>
      <c r="AS27" s="25">
        <f>AR27/30</f>
        <v>-3029.2733333333299</v>
      </c>
      <c r="AT27" s="26">
        <f>AR27*0.3053+7.06</f>
        <v>-27738.0544599999994</v>
      </c>
      <c r="AU27" s="38">
        <f>SUM(AT27:AT29)</f>
        <v>-26755.9748639999998</v>
      </c>
    </row>
    <row r="28" spans="1:47">
      <c r="A28" s="41"/>
      <c r="B28" s="22" t="s">
        <v>51</v>
      </c>
      <c r="C28" s="27" t="n">
        <v>362807</v>
      </c>
      <c r="D28" s="27">
        <f>C28-C25</f>
        <v>8015</v>
      </c>
      <c r="E28" s="28">
        <f>D28/30</f>
        <v>267.166666666667027</v>
      </c>
      <c r="F28" s="29">
        <f>(D28/1000*1.12+3)*1.07</f>
        <v>12.8151759999999992</v>
      </c>
      <c r="G28" s="33"/>
      <c r="H28" s="33"/>
      <c r="I28" s="41"/>
      <c r="J28" s="22" t="s">
        <v>51</v>
      </c>
      <c r="K28" s="27" t="n">
        <v>465696</v>
      </c>
      <c r="L28" s="27">
        <f>K28-K25</f>
        <v>9011</v>
      </c>
      <c r="M28" s="28">
        <f>L28/30</f>
        <v>300.366666666667015</v>
      </c>
      <c r="N28" s="29">
        <f>(L28/1000*1.12+3)*1.07</f>
        <v>14.0087823999999994</v>
      </c>
      <c r="O28" s="33"/>
      <c r="P28" s="33"/>
      <c r="Q28" s="41"/>
      <c r="R28" s="22" t="s">
        <v>51</v>
      </c>
      <c r="S28" s="27" t="n">
        <v>572445</v>
      </c>
      <c r="T28" s="27">
        <f>S28-S25</f>
        <v>8949</v>
      </c>
      <c r="U28" s="28">
        <f>T28/30</f>
        <v>298.300000000000011</v>
      </c>
      <c r="V28" s="29">
        <f>(T28/1000*1.1+3)*1.07</f>
        <v>13.7429729999999992</v>
      </c>
      <c r="W28" s="33"/>
      <c r="X28" s="33"/>
      <c r="Y28" s="41"/>
      <c r="Z28" s="22" t="s">
        <v>51</v>
      </c>
      <c r="AA28" s="27" t="n">
        <v>684302</v>
      </c>
      <c r="AB28" s="27">
        <f>AA28-AA25</f>
        <v>9353</v>
      </c>
      <c r="AC28" s="28">
        <f>AB28/30</f>
        <v>311.766666666666993</v>
      </c>
      <c r="AD28" s="29">
        <f>(AB28/1000*1.1+3)*1.07</f>
        <v>14.2184810000000006</v>
      </c>
      <c r="AE28" s="33"/>
      <c r="AF28" s="33"/>
      <c r="AG28" s="41"/>
      <c r="AH28" s="22" t="s">
        <v>51</v>
      </c>
      <c r="AI28" s="27" t="n">
        <v>798268</v>
      </c>
      <c r="AJ28" s="27">
        <f>AI28-AI25</f>
        <v>9930</v>
      </c>
      <c r="AK28" s="28">
        <f>AJ28/30</f>
        <v>331</v>
      </c>
      <c r="AL28" s="29">
        <f>(AJ28/1000*1.1+3)*1.07</f>
        <v>14.8976100000000002</v>
      </c>
      <c r="AM28" s="33"/>
      <c r="AN28" s="33"/>
      <c r="AO28" s="41"/>
      <c r="AP28" s="22" t="s">
        <v>51</v>
      </c>
      <c r="AQ28" s="27"/>
      <c r="AR28" s="27">
        <f>AQ28-AQ25</f>
        <v>-904444</v>
      </c>
      <c r="AS28" s="28">
        <f>AR28/30</f>
        <v>-30148.1333333332987</v>
      </c>
      <c r="AT28" s="29">
        <f>(AR28/1000*1.1+6.7)*1.07</f>
        <v>-1057.36158799999998</v>
      </c>
      <c r="AU28" s="33"/>
    </row>
    <row r="29" spans="1:47">
      <c r="A29" s="42"/>
      <c r="B29" s="23" t="s">
        <v>52</v>
      </c>
      <c r="C29" s="30" t="n">
        <v>2711.42999999999984</v>
      </c>
      <c r="D29" s="30">
        <f>C26-C29</f>
        <v>102.849999999999994</v>
      </c>
      <c r="E29" s="30">
        <f>D29/30</f>
        <v>3.42833333333333012</v>
      </c>
      <c r="F29" s="31">
        <f>D29/100*55.41</f>
        <v>56.9891849999999991</v>
      </c>
      <c r="G29" s="39"/>
      <c r="H29" s="33"/>
      <c r="I29" s="42"/>
      <c r="J29" s="23" t="s">
        <v>52</v>
      </c>
      <c r="K29" s="30" t="n">
        <v>3828.57000000000016</v>
      </c>
      <c r="L29" s="30" t="n">
        <v>71</v>
      </c>
      <c r="M29" s="30">
        <f>L29/30</f>
        <v>2.3666666666666698</v>
      </c>
      <c r="N29" s="31">
        <f>L29/100*44.77</f>
        <v>31.7866999999999997</v>
      </c>
      <c r="O29" s="39"/>
      <c r="P29" s="33"/>
      <c r="Q29" s="42"/>
      <c r="R29" s="23" t="s">
        <v>52</v>
      </c>
      <c r="S29" s="30" t="n">
        <v>1697.70000000000005</v>
      </c>
      <c r="T29" s="30">
        <f>S26-S29</f>
        <v>102.299999999999997</v>
      </c>
      <c r="U29" s="30">
        <f>T29/30</f>
        <v>3.41000000000000014</v>
      </c>
      <c r="V29" s="31">
        <f>T29/100*44.77</f>
        <v>45.7997099999999975</v>
      </c>
      <c r="W29" s="39"/>
      <c r="X29" s="33"/>
      <c r="Y29" s="42"/>
      <c r="Z29" s="23" t="s">
        <v>52</v>
      </c>
      <c r="AA29" s="30" t="n">
        <v>2505.55999999999995</v>
      </c>
      <c r="AB29" s="30">
        <f>AA26-AA29</f>
        <v>72.230000000000004</v>
      </c>
      <c r="AC29" s="30">
        <f>AB29/30</f>
        <v>2.40766666666667017</v>
      </c>
      <c r="AD29" s="31">
        <f>AB29/100*59.31</f>
        <v>42.8396129999999999</v>
      </c>
      <c r="AE29" s="39"/>
      <c r="AF29" s="33"/>
      <c r="AG29" s="42"/>
      <c r="AH29" s="23" t="s">
        <v>52</v>
      </c>
      <c r="AI29" s="30" t="n">
        <v>3641.67000000000007</v>
      </c>
      <c r="AJ29" s="30">
        <f>AI26-AI29</f>
        <v>91.6599999999998971</v>
      </c>
      <c r="AK29" s="30">
        <f>AJ29/30</f>
        <v>3.0553333333333299</v>
      </c>
      <c r="AL29" s="31">
        <f>AJ29/100*66.53</f>
        <v>60.9813979999998992</v>
      </c>
      <c r="AM29" s="39"/>
      <c r="AN29" s="33"/>
      <c r="AO29" s="42"/>
      <c r="AP29" s="23" t="s">
        <v>52</v>
      </c>
      <c r="AQ29" s="30"/>
      <c r="AR29" s="30">
        <f>AQ26-AQ29</f>
        <v>3827.7800000000002</v>
      </c>
      <c r="AS29" s="30">
        <f>AR29/30</f>
        <v>127.592666666667</v>
      </c>
      <c r="AT29" s="31">
        <f>AR29/100*53.28</f>
        <v>2039.44118400000002</v>
      </c>
      <c r="AU29" s="39"/>
    </row>
    <row r="30" spans="1:47" ht="12.75" customHeight="1">
      <c r="A30" s="40" t="s">
        <v>61</v>
      </c>
      <c r="B30" s="21" t="s">
        <v>50</v>
      </c>
      <c r="C30" s="32" t="n">
        <v>81991.6000000000058</v>
      </c>
      <c r="D30" s="25">
        <f>C30-C27</f>
        <v>182.200000000012011</v>
      </c>
      <c r="E30" s="25">
        <f>D30/31</f>
        <v>5.87741935483910005</v>
      </c>
      <c r="F30" s="26">
        <f>D30*0.2734+5.5</f>
        <v>55.3134800000033025</v>
      </c>
      <c r="G30" s="38">
        <f>SUM(F30:F32)</f>
        <v>182.138480800003009</v>
      </c>
      <c r="H30" s="33"/>
      <c r="I30" s="40" t="s">
        <v>61</v>
      </c>
      <c r="J30" s="21" t="s">
        <v>50</v>
      </c>
      <c r="K30" s="32" t="n">
        <v>83918</v>
      </c>
      <c r="L30" s="25">
        <f>K30-K27</f>
        <v>188.800000000002996</v>
      </c>
      <c r="M30" s="25">
        <f>L30/31</f>
        <v>6.09032258064526033</v>
      </c>
      <c r="N30" s="26">
        <f>L30*0.291+6</f>
        <v>60.9408000000008983</v>
      </c>
      <c r="O30" s="38">
        <f>SUM(N30:N32)</f>
        <v>174.238652400001001</v>
      </c>
      <c r="P30" s="33"/>
      <c r="Q30" s="40" t="s">
        <v>61</v>
      </c>
      <c r="R30" s="21" t="s">
        <v>50</v>
      </c>
      <c r="S30" s="32" t="n">
        <v>85745.6999999999825</v>
      </c>
      <c r="T30" s="25">
        <f>S30-S27</f>
        <v>165.300000000002996</v>
      </c>
      <c r="U30" s="25">
        <f>T30/31</f>
        <v>5.33225806451623008</v>
      </c>
      <c r="V30" s="26">
        <f>T30*0.301+6</f>
        <v>55.7553000000009007</v>
      </c>
      <c r="W30" s="38">
        <f>SUM(V30:V32)</f>
        <v>139.549881000000994</v>
      </c>
      <c r="X30" s="33"/>
      <c r="Y30" s="40" t="s">
        <v>61</v>
      </c>
      <c r="Z30" s="21" t="s">
        <v>50</v>
      </c>
      <c r="AA30" s="32" t="n">
        <v>87549.1000000000058</v>
      </c>
      <c r="AB30" s="25">
        <f>AA30-AA27</f>
        <v>152</v>
      </c>
      <c r="AC30" s="25">
        <f>AB30/31</f>
        <v>4.90322580645161032</v>
      </c>
      <c r="AD30" s="26">
        <f>AB30*0.301+6</f>
        <v>51.7520000000000024</v>
      </c>
      <c r="AE30" s="38">
        <f>SUM(AD30:AD32)</f>
        <v>172.966615999999988</v>
      </c>
      <c r="AF30" s="33"/>
      <c r="AG30" s="40" t="s">
        <v>61</v>
      </c>
      <c r="AH30" s="21" t="s">
        <v>50</v>
      </c>
      <c r="AI30" s="32" t="n">
        <v>89407.3000000000029</v>
      </c>
      <c r="AJ30" s="25">
        <f>AI30-AI27</f>
        <v>169.800000000002996</v>
      </c>
      <c r="AK30" s="25">
        <f>AJ30/31</f>
        <v>5.47741935483881015</v>
      </c>
      <c r="AL30" s="26">
        <f>AJ30*0.301+9.42</f>
        <v>60.5298000000008969</v>
      </c>
      <c r="AM30" s="38">
        <f>SUM(AL30:AL32)</f>
        <v>208.821678000000986</v>
      </c>
      <c r="AN30" s="33"/>
      <c r="AO30" s="40" t="s">
        <v>61</v>
      </c>
      <c r="AP30" s="21" t="s">
        <v>50</v>
      </c>
      <c r="AQ30" s="32"/>
      <c r="AR30" s="25">
        <f>AQ30-AQ27</f>
        <v>0</v>
      </c>
      <c r="AS30" s="25">
        <f>AR30/31</f>
        <v>0</v>
      </c>
      <c r="AT30" s="26">
        <f>AR30*0.3053+7.06</f>
        <v>7.05999999999999961</v>
      </c>
      <c r="AU30" s="38">
        <f>SUM(AT30:AT32)</f>
        <v>14.2289999999999992</v>
      </c>
    </row>
    <row r="31" spans="1:47">
      <c r="A31" s="41"/>
      <c r="B31" s="22" t="s">
        <v>51</v>
      </c>
      <c r="C31" s="27" t="n">
        <v>370839</v>
      </c>
      <c r="D31" s="27">
        <f>C31-C28</f>
        <v>8032</v>
      </c>
      <c r="E31" s="28">
        <f>D31/31</f>
        <v>259.096774193548015</v>
      </c>
      <c r="F31" s="29">
        <f>(D31/1000*1.12+3)*1.07</f>
        <v>12.8355487999999998</v>
      </c>
      <c r="G31" s="33"/>
      <c r="H31" s="33"/>
      <c r="I31" s="41"/>
      <c r="J31" s="22" t="s">
        <v>51</v>
      </c>
      <c r="K31" s="27" t="n">
        <v>474302</v>
      </c>
      <c r="L31" s="27">
        <f>K31-K28</f>
        <v>8606</v>
      </c>
      <c r="M31" s="28">
        <f>L31/31</f>
        <v>277.612903225806974</v>
      </c>
      <c r="N31" s="29">
        <f>(L31/1000*1.12+3)*1.07</f>
        <v>13.5234304000000005</v>
      </c>
      <c r="O31" s="33"/>
      <c r="P31" s="33"/>
      <c r="Q31" s="41"/>
      <c r="R31" s="22" t="s">
        <v>51</v>
      </c>
      <c r="S31" s="27" t="n">
        <v>582014</v>
      </c>
      <c r="T31" s="27">
        <f>S31-S28</f>
        <v>9569</v>
      </c>
      <c r="U31" s="28">
        <f>T31/31</f>
        <v>308.677419354839003</v>
      </c>
      <c r="V31" s="29">
        <f>(T31/1000*1.1+3)*1.07</f>
        <v>14.4727130000000006</v>
      </c>
      <c r="W31" s="33"/>
      <c r="X31" s="33"/>
      <c r="Y31" s="41"/>
      <c r="Z31" s="22" t="s">
        <v>51</v>
      </c>
      <c r="AA31" s="27" t="n">
        <v>694976</v>
      </c>
      <c r="AB31" s="27">
        <f>AA31-AA28</f>
        <v>10674</v>
      </c>
      <c r="AC31" s="28">
        <f>AB31/31</f>
        <v>344.322580645160997</v>
      </c>
      <c r="AD31" s="29">
        <f>(AB31/1000*1.1+3)*1.07</f>
        <v>15.7732980000000005</v>
      </c>
      <c r="AE31" s="33"/>
      <c r="AF31" s="33"/>
      <c r="AG31" s="41"/>
      <c r="AH31" s="22" t="s">
        <v>51</v>
      </c>
      <c r="AI31" s="27" t="n">
        <v>808482</v>
      </c>
      <c r="AJ31" s="27">
        <f>AI31-AI28</f>
        <v>10214</v>
      </c>
      <c r="AK31" s="28">
        <f>AJ31/31</f>
        <v>329.483870967742007</v>
      </c>
      <c r="AL31" s="29">
        <f>(AJ31/1000*1.1+3)*1.07</f>
        <v>15.231878</v>
      </c>
      <c r="AM31" s="33"/>
      <c r="AN31" s="33"/>
      <c r="AO31" s="41"/>
      <c r="AP31" s="22" t="s">
        <v>51</v>
      </c>
      <c r="AQ31" s="27"/>
      <c r="AR31" s="27">
        <f>AQ31-AQ28</f>
        <v>0</v>
      </c>
      <c r="AS31" s="28">
        <f>AR31/31</f>
        <v>0</v>
      </c>
      <c r="AT31" s="29">
        <f>(AR31/1000*1.1+6.7)*1.07</f>
        <v>7.16899999999999959</v>
      </c>
      <c r="AU31" s="33"/>
    </row>
    <row r="32" spans="1:47">
      <c r="A32" s="42"/>
      <c r="B32" s="23" t="s">
        <v>52</v>
      </c>
      <c r="C32" s="30" t="n">
        <v>2505.71000000000004</v>
      </c>
      <c r="D32" s="30">
        <f>C29-C32</f>
        <v>205.719999999999999</v>
      </c>
      <c r="E32" s="30">
        <f>D32/31</f>
        <v>6.63612903225807038</v>
      </c>
      <c r="F32" s="31">
        <f>D32/100*55.41</f>
        <v>113.989452</v>
      </c>
      <c r="G32" s="39"/>
      <c r="H32" s="33"/>
      <c r="I32" s="42"/>
      <c r="J32" s="23" t="s">
        <v>52</v>
      </c>
      <c r="K32" s="30" t="n">
        <v>3605.71000000000004</v>
      </c>
      <c r="L32" s="30">
        <f>K29-K32</f>
        <v>222.860000000000014</v>
      </c>
      <c r="M32" s="30">
        <f>L32/31</f>
        <v>7.18903225806452006</v>
      </c>
      <c r="N32" s="31">
        <f>L32/100*44.77</f>
        <v>99.7744220000000013</v>
      </c>
      <c r="O32" s="39"/>
      <c r="P32" s="33"/>
      <c r="Q32" s="42"/>
      <c r="R32" s="23" t="s">
        <v>52</v>
      </c>
      <c r="S32" s="30" t="n">
        <v>1542.8599999999999</v>
      </c>
      <c r="T32" s="30">
        <f>S29-S32</f>
        <v>154.840000000000003</v>
      </c>
      <c r="U32" s="30">
        <f>T32/31</f>
        <v>4.99483870967741961</v>
      </c>
      <c r="V32" s="31">
        <f>T32/100*44.77</f>
        <v>69.3218679999999949</v>
      </c>
      <c r="W32" s="39"/>
      <c r="X32" s="33"/>
      <c r="Y32" s="42"/>
      <c r="Z32" s="23" t="s">
        <v>52</v>
      </c>
      <c r="AA32" s="30" t="n">
        <v>2327.7800000000002</v>
      </c>
      <c r="AB32" s="30">
        <f>AA29-AA32</f>
        <v>177.780000000000001</v>
      </c>
      <c r="AC32" s="30">
        <f>AB32/31</f>
        <v>5.73483870967741982</v>
      </c>
      <c r="AD32" s="31">
        <f>AB32/100*59.31</f>
        <v>105.441317999999995</v>
      </c>
      <c r="AE32" s="39"/>
      <c r="AF32" s="33"/>
      <c r="AG32" s="42"/>
      <c r="AH32" s="23" t="s">
        <v>52</v>
      </c>
      <c r="AI32" s="30" t="n">
        <v>3441.67000000000007</v>
      </c>
      <c r="AJ32" s="30">
        <f>AI29-AI32</f>
        <v>200</v>
      </c>
      <c r="AK32" s="30">
        <f>AJ32/31</f>
        <v>6.4516129032258096</v>
      </c>
      <c r="AL32" s="31">
        <f>AJ32/100*66.53</f>
        <v>133.060000000000002</v>
      </c>
      <c r="AM32" s="39"/>
      <c r="AN32" s="33"/>
      <c r="AO32" s="42"/>
      <c r="AP32" s="23" t="s">
        <v>52</v>
      </c>
      <c r="AQ32" s="30"/>
      <c r="AR32" s="30">
        <f>AQ29-AQ32</f>
        <v>0</v>
      </c>
      <c r="AS32" s="30">
        <f>AR32/31</f>
        <v>0</v>
      </c>
      <c r="AT32" s="31">
        <f>AR32/100*53.28</f>
        <v>0</v>
      </c>
      <c r="AU32" s="39"/>
    </row>
    <row r="33" spans="1:47" ht="12.75" customHeight="1">
      <c r="A33" s="40" t="s">
        <v>62</v>
      </c>
      <c r="B33" s="21" t="s">
        <v>50</v>
      </c>
      <c r="C33" s="32" t="n">
        <v>82176.8999999999942</v>
      </c>
      <c r="D33" s="25">
        <f>C33-C30</f>
        <v>185.299999999987989</v>
      </c>
      <c r="E33" s="25">
        <f>D33/30</f>
        <v>6.17666666666626973</v>
      </c>
      <c r="F33" s="26">
        <f>D33*0.2734+5.5</f>
        <v>56.1610199999966966</v>
      </c>
      <c r="G33" s="38">
        <f>SUM(F33:F35)</f>
        <v>188.029915199996992</v>
      </c>
      <c r="H33" s="33"/>
      <c r="I33" s="40" t="s">
        <v>62</v>
      </c>
      <c r="J33" s="21" t="s">
        <v>50</v>
      </c>
      <c r="K33" s="32" t="n">
        <v>84100.8000000000029</v>
      </c>
      <c r="L33" s="25">
        <f>K33-K30</f>
        <v>182.800000000002996</v>
      </c>
      <c r="M33" s="25">
        <f>L33/30</f>
        <v>6.09333333333342964</v>
      </c>
      <c r="N33" s="26">
        <f>L33*0.291+6</f>
        <v>59.1948000000009031</v>
      </c>
      <c r="O33" s="38">
        <f>SUM(N33:N35)</f>
        <v>186.190946800001001</v>
      </c>
      <c r="P33" s="33"/>
      <c r="Q33" s="40" t="s">
        <v>62</v>
      </c>
      <c r="R33" s="21" t="s">
        <v>50</v>
      </c>
      <c r="S33" s="32" t="n">
        <v>85918.3000000000029</v>
      </c>
      <c r="T33" s="25">
        <f>S33-S30</f>
        <v>172.600000000005991</v>
      </c>
      <c r="U33" s="25">
        <f>T33/30</f>
        <v>5.75333333333353014</v>
      </c>
      <c r="V33" s="26">
        <f>T33*0.301+6</f>
        <v>57.9526000000018016</v>
      </c>
      <c r="W33" s="38">
        <f>SUM(V33:V35)</f>
        <v>185.939032000001987</v>
      </c>
      <c r="X33" s="33"/>
      <c r="Y33" s="40" t="s">
        <v>62</v>
      </c>
      <c r="Z33" s="21" t="s">
        <v>50</v>
      </c>
      <c r="AA33" s="32" t="n">
        <v>87721.1999999999825</v>
      </c>
      <c r="AB33" s="25">
        <f>AA33-AA30</f>
        <v>172.099999999991013</v>
      </c>
      <c r="AC33" s="25">
        <f>AB33/30</f>
        <v>5.73666666666636971</v>
      </c>
      <c r="AD33" s="26">
        <f>AB33*0.301+6</f>
        <v>57.8020999999973029</v>
      </c>
      <c r="AE33" s="38">
        <f>SUM(AD33:AD35)</f>
        <v>223.818995999996986</v>
      </c>
      <c r="AF33" s="33"/>
      <c r="AG33" s="40" t="s">
        <v>62</v>
      </c>
      <c r="AH33" s="21" t="s">
        <v>50</v>
      </c>
      <c r="AI33" s="32" t="n">
        <v>89568.8999999999942</v>
      </c>
      <c r="AJ33" s="25">
        <f>AI33-AI30</f>
        <v>161.599999999991013</v>
      </c>
      <c r="AK33" s="25">
        <f>AJ33/30</f>
        <v>5.38666666666637006</v>
      </c>
      <c r="AL33" s="26">
        <f>AJ33*0.301+9.42</f>
        <v>58.0615999999972985</v>
      </c>
      <c r="AM33" s="38">
        <f>SUM(AL33:AL35)</f>
        <v>205.935642999996986</v>
      </c>
      <c r="AN33" s="33"/>
      <c r="AO33" s="40" t="s">
        <v>62</v>
      </c>
      <c r="AP33" s="21" t="s">
        <v>50</v>
      </c>
      <c r="AQ33" s="32"/>
      <c r="AR33" s="25">
        <f>AQ33-AQ30</f>
        <v>0</v>
      </c>
      <c r="AS33" s="25">
        <f>AR33/30</f>
        <v>0</v>
      </c>
      <c r="AT33" s="26">
        <f>AR33*0.3053+7.06</f>
        <v>7.05999999999999961</v>
      </c>
      <c r="AU33" s="38">
        <f>SUM(AT33:AT35)</f>
        <v>14.2289999999999992</v>
      </c>
    </row>
    <row r="34" spans="1:47">
      <c r="A34" s="41"/>
      <c r="B34" s="22" t="s">
        <v>51</v>
      </c>
      <c r="C34" s="27" t="n">
        <v>379122</v>
      </c>
      <c r="D34" s="27">
        <f>C34-C31</f>
        <v>8283</v>
      </c>
      <c r="E34" s="28">
        <f>D34/30</f>
        <v>276.100000000000023</v>
      </c>
      <c r="F34" s="29">
        <f>(D34/1000*1.12+3)*1.07</f>
        <v>13.1363471999999994</v>
      </c>
      <c r="G34" s="33"/>
      <c r="H34" s="33"/>
      <c r="I34" s="41"/>
      <c r="J34" s="22" t="s">
        <v>51</v>
      </c>
      <c r="K34" s="27" t="n">
        <v>483669</v>
      </c>
      <c r="L34" s="27">
        <f>K34-K31</f>
        <v>9367</v>
      </c>
      <c r="M34" s="28">
        <f>L34/30</f>
        <v>312.233333333333007</v>
      </c>
      <c r="N34" s="29">
        <f>(L34/1000*1.12+3)*1.07</f>
        <v>14.4354127999999999</v>
      </c>
      <c r="O34" s="33"/>
      <c r="P34" s="33"/>
      <c r="Q34" s="41"/>
      <c r="R34" s="22" t="s">
        <v>51</v>
      </c>
      <c r="S34" s="27" t="n">
        <v>591301</v>
      </c>
      <c r="T34" s="27">
        <f>S34-S31</f>
        <v>9287</v>
      </c>
      <c r="U34" s="28">
        <f>T34/30</f>
        <v>309.566666666667004</v>
      </c>
      <c r="V34" s="29">
        <f>(T34/1000*1.1+3)*1.07</f>
        <v>14.1407989999999995</v>
      </c>
      <c r="W34" s="33"/>
      <c r="X34" s="33"/>
      <c r="Y34" s="41"/>
      <c r="Z34" s="22" t="s">
        <v>51</v>
      </c>
      <c r="AA34" s="27" t="n">
        <v>703125</v>
      </c>
      <c r="AB34" s="27">
        <f>AA34-AA31</f>
        <v>8149</v>
      </c>
      <c r="AC34" s="28">
        <f>AB34/30</f>
        <v>271.633333333332985</v>
      </c>
      <c r="AD34" s="29">
        <f>(AB34/1000*1.1+3)*1.07</f>
        <v>12.8013729999999999</v>
      </c>
      <c r="AE34" s="33"/>
      <c r="AF34" s="33"/>
      <c r="AG34" s="41"/>
      <c r="AH34" s="22" t="s">
        <v>51</v>
      </c>
      <c r="AI34" s="27" t="n">
        <v>818341</v>
      </c>
      <c r="AJ34" s="27">
        <f>AI34-AI31</f>
        <v>9859</v>
      </c>
      <c r="AK34" s="28">
        <f>AJ34/30</f>
        <v>328.633333333332985</v>
      </c>
      <c r="AL34" s="29">
        <f>(AJ34/1000*1.1+3)*1.07</f>
        <v>14.8140429999999999</v>
      </c>
      <c r="AM34" s="33"/>
      <c r="AN34" s="33"/>
      <c r="AO34" s="41"/>
      <c r="AP34" s="22" t="s">
        <v>51</v>
      </c>
      <c r="AQ34" s="27"/>
      <c r="AR34" s="27">
        <f>AQ34-AQ31</f>
        <v>0</v>
      </c>
      <c r="AS34" s="28">
        <f>AR34/30</f>
        <v>0</v>
      </c>
      <c r="AT34" s="29">
        <f>(AR34/1000*1.1+6.7)*1.07</f>
        <v>7.16899999999999959</v>
      </c>
      <c r="AU34" s="33"/>
    </row>
    <row r="35" spans="1:47">
      <c r="A35" s="42"/>
      <c r="B35" s="23" t="s">
        <v>52</v>
      </c>
      <c r="C35" s="30" t="n">
        <v>2291.42999999999984</v>
      </c>
      <c r="D35" s="30">
        <f>C32-C35</f>
        <v>214.280000000000001</v>
      </c>
      <c r="E35" s="30">
        <f>D35/30</f>
        <v>7.14266666666666961</v>
      </c>
      <c r="F35" s="31">
        <f>D35/100*55.41</f>
        <v>118.732547999999994</v>
      </c>
      <c r="G35" s="39"/>
      <c r="H35" s="33"/>
      <c r="I35" s="42"/>
      <c r="J35" s="23" t="s">
        <v>52</v>
      </c>
      <c r="K35" s="30" t="n">
        <v>3354.28999999999996</v>
      </c>
      <c r="L35" s="30">
        <f>K32-K35</f>
        <v>251.419999999999987</v>
      </c>
      <c r="M35" s="30">
        <f>L35/30</f>
        <v>8.38066666666667004</v>
      </c>
      <c r="N35" s="31">
        <f>L35/100*44.77</f>
        <v>112.560733999999997</v>
      </c>
      <c r="O35" s="39"/>
      <c r="P35" s="33"/>
      <c r="Q35" s="42"/>
      <c r="R35" s="23" t="s">
        <v>52</v>
      </c>
      <c r="S35" s="30" t="n">
        <v>1288.56999999999994</v>
      </c>
      <c r="T35" s="30">
        <f>S32-S35</f>
        <v>254.289999999999992</v>
      </c>
      <c r="U35" s="30">
        <f>T35/30</f>
        <v>8.47633333333332928</v>
      </c>
      <c r="V35" s="31">
        <f>T35/100*44.77</f>
        <v>113.845633000000007</v>
      </c>
      <c r="W35" s="39"/>
      <c r="X35" s="33"/>
      <c r="Y35" s="42"/>
      <c r="Z35" s="23" t="s">
        <v>52</v>
      </c>
      <c r="AA35" s="30" t="n">
        <v>2069.44999999999982</v>
      </c>
      <c r="AB35" s="30">
        <f>AA32-AA35</f>
        <v>258.329999999999984</v>
      </c>
      <c r="AC35" s="30">
        <f>AB35/30</f>
        <v>8.61100000000000065</v>
      </c>
      <c r="AD35" s="31">
        <f>AB35/100*59.31</f>
        <v>153.21552299999999</v>
      </c>
      <c r="AE35" s="39"/>
      <c r="AF35" s="33"/>
      <c r="AG35" s="42"/>
      <c r="AH35" s="23" t="s">
        <v>52</v>
      </c>
      <c r="AI35" s="30" t="n">
        <v>3241.67000000000007</v>
      </c>
      <c r="AJ35" s="30">
        <f>AI32-AI35</f>
        <v>200</v>
      </c>
      <c r="AK35" s="30">
        <f>AJ35/30</f>
        <v>6.66666666666666963</v>
      </c>
      <c r="AL35" s="31">
        <f>AJ35/100*66.53</f>
        <v>133.060000000000002</v>
      </c>
      <c r="AM35" s="39"/>
      <c r="AN35" s="33"/>
      <c r="AO35" s="42"/>
      <c r="AP35" s="23" t="s">
        <v>52</v>
      </c>
      <c r="AQ35" s="30"/>
      <c r="AR35" s="30">
        <f>AQ32-AQ35</f>
        <v>0</v>
      </c>
      <c r="AS35" s="30">
        <f>AR35/30</f>
        <v>0</v>
      </c>
      <c r="AT35" s="31">
        <f>AR35/100*53.28</f>
        <v>0</v>
      </c>
      <c r="AU35" s="39"/>
    </row>
    <row r="36" spans="1:47" ht="12.75" customHeight="1">
      <c r="A36" s="40" t="s">
        <v>63</v>
      </c>
      <c r="B36" s="21" t="s">
        <v>50</v>
      </c>
      <c r="C36" s="32" t="n">
        <v>82356.8000000000029</v>
      </c>
      <c r="D36" s="25">
        <f>C36-C33</f>
        <v>179.900000000008987</v>
      </c>
      <c r="E36" s="25">
        <f>D36/31</f>
        <v>5.80322580645190023</v>
      </c>
      <c r="F36" s="26">
        <f>D36*0.2734+5.5</f>
        <v>54.684660000002502</v>
      </c>
      <c r="G36" s="38">
        <f>SUM(F36:F38)</f>
        <v>179.135495400003009</v>
      </c>
      <c r="H36" s="33"/>
      <c r="I36" s="40" t="s">
        <v>63</v>
      </c>
      <c r="J36" s="21" t="s">
        <v>50</v>
      </c>
      <c r="K36" s="32" t="n">
        <v>84281.8000000000029</v>
      </c>
      <c r="L36" s="25">
        <f>K36-K33</f>
        <v>181</v>
      </c>
      <c r="M36" s="25">
        <f>L36/31</f>
        <v>5.83870967741936031</v>
      </c>
      <c r="N36" s="26">
        <f>L36*0.291+6</f>
        <v>58.6709999999999994</v>
      </c>
      <c r="O36" s="38">
        <f>SUM(N36:N38)</f>
        <v>197.061834199999993</v>
      </c>
      <c r="P36" s="33"/>
      <c r="Q36" s="40" t="s">
        <v>63</v>
      </c>
      <c r="R36" s="21" t="s">
        <v>50</v>
      </c>
      <c r="S36" s="32" t="n">
        <v>86096.8000000000029</v>
      </c>
      <c r="T36" s="25">
        <f>S36-S33</f>
        <v>178.5</v>
      </c>
      <c r="U36" s="25">
        <f>T36/31</f>
        <v>5.75806451612903025</v>
      </c>
      <c r="V36" s="26">
        <f>T36*0.301+6</f>
        <v>59.7284999999999968</v>
      </c>
      <c r="W36" s="38">
        <f>SUM(V36:V38)</f>
        <v>196.59618900000001</v>
      </c>
      <c r="X36" s="33"/>
      <c r="Y36" s="40" t="s">
        <v>63</v>
      </c>
      <c r="Z36" s="21" t="s">
        <v>50</v>
      </c>
      <c r="AA36" s="32" t="n">
        <v>87899</v>
      </c>
      <c r="AB36" s="25">
        <f>AA36-AA33</f>
        <v>177.800000000002996</v>
      </c>
      <c r="AC36" s="25">
        <f>AB36/31</f>
        <v>5.7354838709678404</v>
      </c>
      <c r="AD36" s="26">
        <f>AB36*0.301+6</f>
        <v>59.5178000000009035</v>
      </c>
      <c r="AE36" s="38">
        <f>SUM(AD36:AD38)</f>
        <v>223.850773000000999</v>
      </c>
      <c r="AF36" s="33"/>
      <c r="AG36" s="40" t="s">
        <v>63</v>
      </c>
      <c r="AH36" s="21" t="s">
        <v>50</v>
      </c>
      <c r="AI36" s="32" t="n">
        <v>89738.1999999999825</v>
      </c>
      <c r="AJ36" s="25">
        <f>AI36-AI33</f>
        <v>169.300000000002996</v>
      </c>
      <c r="AK36" s="25">
        <f>AJ36/31</f>
        <v>5.46129032258073988</v>
      </c>
      <c r="AL36" s="26">
        <f>AJ36*0.301+9.42</f>
        <v>60.379300000000903</v>
      </c>
      <c r="AM36" s="38">
        <f>SUM(AL36:AL38)</f>
        <v>261.215508000001023</v>
      </c>
      <c r="AN36" s="33"/>
      <c r="AO36" s="40" t="s">
        <v>63</v>
      </c>
      <c r="AP36" s="21" t="s">
        <v>50</v>
      </c>
      <c r="AQ36" s="32"/>
      <c r="AR36" s="25">
        <f>AQ36-AQ33</f>
        <v>0</v>
      </c>
      <c r="AS36" s="25">
        <f>AR36/31</f>
        <v>0</v>
      </c>
      <c r="AT36" s="26">
        <f>AR36*0.3053+7.06</f>
        <v>7.05999999999999961</v>
      </c>
      <c r="AU36" s="38">
        <f>SUM(AT36:AT38)</f>
        <v>14.2289999999999992</v>
      </c>
    </row>
    <row r="37" spans="1:47">
      <c r="A37" s="41"/>
      <c r="B37" s="22" t="s">
        <v>51</v>
      </c>
      <c r="C37" s="27" t="n">
        <v>387813</v>
      </c>
      <c r="D37" s="27">
        <f>C37-C34</f>
        <v>8691</v>
      </c>
      <c r="E37" s="28">
        <f>D37/31</f>
        <v>280.354838709676983</v>
      </c>
      <c r="F37" s="29">
        <f>(D37/1000*1.12+3)*1.07</f>
        <v>13.6252943999999996</v>
      </c>
      <c r="G37" s="33"/>
      <c r="H37" s="33"/>
      <c r="I37" s="41"/>
      <c r="J37" s="22" t="s">
        <v>51</v>
      </c>
      <c r="K37" s="27" t="n">
        <v>492932</v>
      </c>
      <c r="L37" s="27">
        <f>K37-K34</f>
        <v>9263</v>
      </c>
      <c r="M37" s="28">
        <f>L37/31</f>
        <v>298.806451612903004</v>
      </c>
      <c r="N37" s="29">
        <f>(L37/1000*1.12+3)*1.07</f>
        <v>14.3107792000000007</v>
      </c>
      <c r="O37" s="33"/>
      <c r="P37" s="33"/>
      <c r="Q37" s="41"/>
      <c r="R37" s="22" t="s">
        <v>51</v>
      </c>
      <c r="S37" s="27" t="n">
        <v>600530</v>
      </c>
      <c r="T37" s="27">
        <f>S37-S34</f>
        <v>9229</v>
      </c>
      <c r="U37" s="28">
        <f>T37/31</f>
        <v>297.709677419354989</v>
      </c>
      <c r="V37" s="29">
        <f>(T37/1000*1.1+3)*1.07</f>
        <v>14.072533</v>
      </c>
      <c r="W37" s="33"/>
      <c r="X37" s="33"/>
      <c r="Y37" s="41"/>
      <c r="Z37" s="22" t="s">
        <v>51</v>
      </c>
      <c r="AA37" s="27" t="n">
        <v>712640</v>
      </c>
      <c r="AB37" s="27">
        <f>AA37-AA34</f>
        <v>9515</v>
      </c>
      <c r="AC37" s="28">
        <f>AB37/31</f>
        <v>306.935483870968028</v>
      </c>
      <c r="AD37" s="29">
        <f>(AB37/1000*1.1+3)*1.07</f>
        <v>14.4091550000000002</v>
      </c>
      <c r="AE37" s="33"/>
      <c r="AF37" s="33"/>
      <c r="AG37" s="41"/>
      <c r="AH37" s="22" t="s">
        <v>51</v>
      </c>
      <c r="AI37" s="27" t="n">
        <v>827661</v>
      </c>
      <c r="AJ37" s="27">
        <f>AI37-AI34</f>
        <v>9320</v>
      </c>
      <c r="AK37" s="28">
        <f>AJ37/31</f>
        <v>300.645161290323017</v>
      </c>
      <c r="AL37" s="29">
        <f>(AJ37/1000*1.1+3)*1.07</f>
        <v>14.1796399999999991</v>
      </c>
      <c r="AM37" s="33"/>
      <c r="AN37" s="33"/>
      <c r="AO37" s="41"/>
      <c r="AP37" s="22" t="s">
        <v>51</v>
      </c>
      <c r="AQ37" s="27"/>
      <c r="AR37" s="27">
        <f>AQ37-AQ34</f>
        <v>0</v>
      </c>
      <c r="AS37" s="28">
        <f>AR37/31</f>
        <v>0</v>
      </c>
      <c r="AT37" s="29">
        <f>(AR37/1000*1.1+6.7)*1.07</f>
        <v>7.16899999999999959</v>
      </c>
      <c r="AU37" s="33"/>
    </row>
    <row r="38" spans="1:47">
      <c r="A38" s="42"/>
      <c r="B38" s="23" t="s">
        <v>52</v>
      </c>
      <c r="C38" s="30" t="n">
        <v>2091.42000000000007</v>
      </c>
      <c r="D38" s="30">
        <f>C35-C38</f>
        <v>200.009999999999991</v>
      </c>
      <c r="E38" s="30">
        <f>D38/31</f>
        <v>6.45193548387096971</v>
      </c>
      <c r="F38" s="31">
        <f>D38/100*55.41</f>
        <v>110.825541000000001</v>
      </c>
      <c r="G38" s="39"/>
      <c r="H38" s="33"/>
      <c r="I38" s="42"/>
      <c r="J38" s="23" t="s">
        <v>52</v>
      </c>
      <c r="K38" s="30" t="n">
        <v>3077.13999999999987</v>
      </c>
      <c r="L38" s="30">
        <f>K35-K38</f>
        <v>277.149999999999977</v>
      </c>
      <c r="M38" s="30">
        <f>L38/31</f>
        <v>8.9403225806451605</v>
      </c>
      <c r="N38" s="31">
        <f>L38/100*44.77</f>
        <v>124.080055000000002</v>
      </c>
      <c r="O38" s="39"/>
      <c r="P38" s="33"/>
      <c r="Q38" s="42"/>
      <c r="R38" s="23" t="s">
        <v>52</v>
      </c>
      <c r="S38" s="30" t="n">
        <v>3880</v>
      </c>
      <c r="T38" s="30" t="n">
        <v>274.279999999999973</v>
      </c>
      <c r="U38" s="30">
        <f>T38/31</f>
        <v>8.84774193548386911</v>
      </c>
      <c r="V38" s="31">
        <f>T38/100*44.77</f>
        <v>122.795156000000006</v>
      </c>
      <c r="W38" s="39"/>
      <c r="X38" s="33"/>
      <c r="Y38" s="42"/>
      <c r="Z38" s="23" t="s">
        <v>52</v>
      </c>
      <c r="AA38" s="30" t="n">
        <v>1816.67000000000007</v>
      </c>
      <c r="AB38" s="30">
        <f>AA35-AA38</f>
        <v>252.780000000000001</v>
      </c>
      <c r="AC38" s="30">
        <f>AB38/31</f>
        <v>8.15419354838710042</v>
      </c>
      <c r="AD38" s="31">
        <f>AB38/100*59.31</f>
        <v>149.923818000000011</v>
      </c>
      <c r="AE38" s="39"/>
      <c r="AF38" s="33"/>
      <c r="AG38" s="42"/>
      <c r="AH38" s="23" t="s">
        <v>52</v>
      </c>
      <c r="AI38" s="30" t="n">
        <v>2961.11000000000013</v>
      </c>
      <c r="AJ38" s="30">
        <f>AI35-AI38</f>
        <v>280.560000000000002</v>
      </c>
      <c r="AK38" s="30">
        <f>AJ38/31</f>
        <v>9.05032258064515993</v>
      </c>
      <c r="AL38" s="31">
        <f>AJ38/100*66.53</f>
        <v>186.656567999999993</v>
      </c>
      <c r="AM38" s="39"/>
      <c r="AN38" s="33"/>
      <c r="AO38" s="42"/>
      <c r="AP38" s="23" t="s">
        <v>52</v>
      </c>
      <c r="AQ38" s="30"/>
      <c r="AR38" s="30">
        <f>AQ35-AQ38</f>
        <v>0</v>
      </c>
      <c r="AS38" s="30">
        <f>AR38/31</f>
        <v>0</v>
      </c>
      <c r="AT38" s="31">
        <f>AR38/100*53.28</f>
        <v>0</v>
      </c>
      <c r="AU38" s="39"/>
    </row>
    <row r="39" spans="1:47" ht="12.75" customHeight="1">
      <c r="A39" s="65" t="s">
        <v>64</v>
      </c>
      <c r="B39" s="68" t="s">
        <v>50</v>
      </c>
      <c r="C39" s="69">
        <f>C36-80373.9</f>
        <v>1982.9000000000101</v>
      </c>
      <c r="D39" s="70"/>
      <c r="E39" s="70"/>
      <c r="F39" s="71">
        <f>SUM(F3,F6,F9,F12,F15,F18,F21,F24,F27,F30,F33,F36)</f>
        <v>608.124859999998989</v>
      </c>
      <c r="G39" s="72">
        <f>SUM(F39:F41)</f>
        <v>1866.95903300000009</v>
      </c>
      <c r="H39" s="33"/>
      <c r="I39" s="65" t="s">
        <v>64</v>
      </c>
      <c r="J39" s="68" t="s">
        <v>50</v>
      </c>
      <c r="K39" s="69">
        <f>K36-C36</f>
        <v>1925</v>
      </c>
      <c r="L39" s="70"/>
      <c r="M39" s="70"/>
      <c r="N39" s="71">
        <f>SUM(N3,N6,N9,N12,N15,N18,N21,N24,N27,N30,N33,N36)</f>
        <v>632.174999999999955</v>
      </c>
      <c r="O39" s="72">
        <f>SUM(N39:N41)</f>
        <v>1856.69861659999992</v>
      </c>
      <c r="P39" s="33"/>
      <c r="Q39" s="65" t="s">
        <v>64</v>
      </c>
      <c r="R39" s="68" t="s">
        <v>50</v>
      </c>
      <c r="S39" s="69">
        <f>S36-K36</f>
        <v>1815</v>
      </c>
      <c r="T39" s="70"/>
      <c r="U39" s="70"/>
      <c r="V39" s="71">
        <f>SUM(V3,V6,V9,V12,V15,V18,V21,V24,V27,V30,V33,V36)</f>
        <v>618.315000000000055</v>
      </c>
      <c r="W39" s="72">
        <f>SUM(V39:V41)</f>
        <v>1707.01579100000004</v>
      </c>
      <c r="X39" s="33"/>
      <c r="Y39" s="65" t="s">
        <v>64</v>
      </c>
      <c r="Z39" s="68" t="s">
        <v>50</v>
      </c>
      <c r="AA39" s="69">
        <f>AA36-S36</f>
        <v>1802.20000000000005</v>
      </c>
      <c r="AB39" s="70"/>
      <c r="AC39" s="70"/>
      <c r="AD39" s="71">
        <f>SUM(AD3,AD6,AD9,AD12,AD15,AD18,AD21,AD24,AD27,AD30,AD33,AD36)</f>
        <v>614.462199999999029</v>
      </c>
      <c r="AE39" s="72">
        <f>SUM(AD39:AD41)</f>
        <v>2008.6966930000001</v>
      </c>
      <c r="AF39" s="33"/>
      <c r="AG39" s="65" t="s">
        <v>64</v>
      </c>
      <c r="AH39" s="68" t="s">
        <v>50</v>
      </c>
      <c r="AI39" s="69">
        <f>AI36-AA36</f>
        <v>1839.20000000000005</v>
      </c>
      <c r="AJ39" s="70"/>
      <c r="AK39" s="70"/>
      <c r="AL39" s="71">
        <f>SUM(AL3,AL6,AL9,AL12,AL15,AL18,AL21,AL24,AL27,AL30,AL33,AL36)</f>
        <v>666.63919999999905</v>
      </c>
      <c r="AM39" s="72">
        <f>SUM(AL39:AL41)</f>
        <v>2106.72811700000011</v>
      </c>
      <c r="AN39" s="33"/>
      <c r="AO39" s="65" t="s">
        <v>64</v>
      </c>
      <c r="AP39" s="68" t="s">
        <v>50</v>
      </c>
      <c r="AQ39" s="69">
        <f>SUM(AR3,AR6,AR9,AR12,AR15,AR18,AR21,AR24,AR27,AR30,AR33,AR36)</f>
        <v>-89738.1999999999971</v>
      </c>
      <c r="AR39" s="70"/>
      <c r="AS39" s="70"/>
      <c r="AT39" s="71">
        <f>SUM(AT3,AT6,AT9,AT12,AT15,AT18,AT21,AT24,AT27,AT30,AT33,AT36)</f>
        <v>-27312.3524599999982</v>
      </c>
      <c r="AU39" s="72">
        <f>SUM(AT39:AT41)</f>
        <v>-25362.7815489999994</v>
      </c>
    </row>
    <row r="40" spans="1:47">
      <c r="A40" s="66"/>
      <c r="B40" s="73" t="s">
        <v>51</v>
      </c>
      <c r="C40" s="74">
        <f>C37-288753</f>
        <v>99060</v>
      </c>
      <c r="D40" s="70"/>
      <c r="E40" s="70"/>
      <c r="F40" s="75">
        <f>SUM(F4,F7,F10,F13,F16,F19,F22,F25,F28,F31,F34,F37)</f>
        <v>157.233504000000011</v>
      </c>
      <c r="G40" s="76"/>
      <c r="H40" s="33"/>
      <c r="I40" s="66"/>
      <c r="J40" s="73" t="s">
        <v>51</v>
      </c>
      <c r="K40" s="74">
        <f>K37-C37</f>
        <v>105119</v>
      </c>
      <c r="L40" s="70"/>
      <c r="M40" s="70"/>
      <c r="N40" s="75">
        <f>SUM(N4,N7,N10,N13,N16,N19,N22,N25,N28,N31,N34,N37)</f>
        <v>164.49460959999999</v>
      </c>
      <c r="O40" s="76"/>
      <c r="P40" s="33"/>
      <c r="Q40" s="66"/>
      <c r="R40" s="73" t="s">
        <v>51</v>
      </c>
      <c r="S40" s="74">
        <f>S37-K37</f>
        <v>107598</v>
      </c>
      <c r="T40" s="70"/>
      <c r="U40" s="70"/>
      <c r="V40" s="75">
        <f>SUM(V4,V7,V10,V13,V16,V19,V22,V25,V28,V31,V34,V37)</f>
        <v>165.162846000000002</v>
      </c>
      <c r="W40" s="76"/>
      <c r="X40" s="33"/>
      <c r="Y40" s="66"/>
      <c r="Z40" s="73" t="s">
        <v>51</v>
      </c>
      <c r="AA40" s="74">
        <f>AA37-S37</f>
        <v>112110</v>
      </c>
      <c r="AB40" s="70"/>
      <c r="AC40" s="70"/>
      <c r="AD40" s="75">
        <f>SUM(AD4,AD7,AD10,AD13,AD16,AD19,AD22,AD25,AD28,AD31,AD34,AD37)</f>
        <v>170.473469999999992</v>
      </c>
      <c r="AE40" s="76"/>
      <c r="AF40" s="33"/>
      <c r="AG40" s="66"/>
      <c r="AH40" s="73" t="s">
        <v>51</v>
      </c>
      <c r="AI40" s="74">
        <f>AI37-AA37</f>
        <v>115021</v>
      </c>
      <c r="AJ40" s="70"/>
      <c r="AK40" s="70"/>
      <c r="AL40" s="75">
        <f>SUM(AL4,AL7,AL10,AL13,AL16,AL19,AL22,AL25,AL28,AL31,AL34,AL37)</f>
        <v>173.89971700000001</v>
      </c>
      <c r="AM40" s="76"/>
      <c r="AN40" s="33"/>
      <c r="AO40" s="66"/>
      <c r="AP40" s="73" t="s">
        <v>51</v>
      </c>
      <c r="AQ40" s="74">
        <f>SUM(AR4,AR7,AR10,AR13,AR16,AR19,AR22,AR25,AR28,AR31,AR34,AR37)</f>
        <v>-827661</v>
      </c>
      <c r="AR40" s="70"/>
      <c r="AS40" s="70"/>
      <c r="AT40" s="75">
        <f>SUM(AT4,AT7,AT10,AT13,AT16,AT19,AT22,AT25,AT28,AT31,AT34,AT37)</f>
        <v>-888.128997000000027</v>
      </c>
      <c r="AU40" s="76"/>
    </row>
    <row r="41" spans="1:47">
      <c r="A41" s="67"/>
      <c r="B41" s="77" t="s">
        <v>52</v>
      </c>
      <c r="C41" s="78">
        <f>4079.51-C38</f>
        <v>1988.08999999999992</v>
      </c>
      <c r="D41" s="70"/>
      <c r="E41" s="70"/>
      <c r="F41" s="79">
        <f>SUM(F5,F8,F11,F14,F17,F20,F23,F26,F29,F32,F35,F38)</f>
        <v>1101.60066899999993</v>
      </c>
      <c r="G41" s="80"/>
      <c r="H41" s="33"/>
      <c r="I41" s="67"/>
      <c r="J41" s="77" t="s">
        <v>52</v>
      </c>
      <c r="K41" s="78">
        <f>SUM(L5,L8,L11,L14,L17,L20,L23,L26,L29,L32,L35,L38)</f>
        <v>2070.98999999999978</v>
      </c>
      <c r="L41" s="70"/>
      <c r="M41" s="70"/>
      <c r="N41" s="79">
        <f>SUM(N5,N8,N11,N14,N17,N20,N23,N26,N29,N32,N35,N38)</f>
        <v>1060.02900700000009</v>
      </c>
      <c r="O41" s="80"/>
      <c r="P41" s="33"/>
      <c r="Q41" s="67"/>
      <c r="R41" s="77" t="s">
        <v>52</v>
      </c>
      <c r="S41" s="78">
        <f>SUM(T5,T8,T11,T14,T17,T20,T23,T26,T29,T32,T35,T38)</f>
        <v>2062.84999999999991</v>
      </c>
      <c r="T41" s="70"/>
      <c r="U41" s="70"/>
      <c r="V41" s="79">
        <f>SUM(V5,V8,V11,V14,V17,V20,V23,V26,V29,V32,V35,V38)</f>
        <v>923.537945000000036</v>
      </c>
      <c r="W41" s="80"/>
      <c r="X41" s="33"/>
      <c r="Y41" s="67"/>
      <c r="Z41" s="77" t="s">
        <v>52</v>
      </c>
      <c r="AA41" s="78">
        <f>SUM(AB5,AB8,AB11,AB14,AB17,AB20,AB23,AB26,AB29,AB32,AB35,AB38)</f>
        <v>2063.32999999999993</v>
      </c>
      <c r="AB41" s="70"/>
      <c r="AC41" s="70"/>
      <c r="AD41" s="79">
        <f>SUM(AD5,AD8,AD11,AD14,AD17,AD20,AD23,AD26,AD29,AD32,AD35,AD38)</f>
        <v>1223.76102300000002</v>
      </c>
      <c r="AE41" s="80"/>
      <c r="AF41" s="33"/>
      <c r="AG41" s="67"/>
      <c r="AH41" s="77" t="s">
        <v>52</v>
      </c>
      <c r="AI41" s="78">
        <f>SUM(AJ5,AJ8,AJ11,AJ14,AJ17,AJ20,AJ23,AJ26,AJ29,AJ32,AJ35,AJ38)</f>
        <v>2016.46000000000004</v>
      </c>
      <c r="AJ41" s="70"/>
      <c r="AK41" s="70"/>
      <c r="AL41" s="79">
        <f>SUM(AL5,AL8,AL11,AL14,AL17,AL20,AL23,AL26,AL29,AL32,AL35,AL38)</f>
        <v>1266.18920000000003</v>
      </c>
      <c r="AM41" s="80"/>
      <c r="AN41" s="33"/>
      <c r="AO41" s="67"/>
      <c r="AP41" s="77" t="s">
        <v>52</v>
      </c>
      <c r="AQ41" s="78">
        <f>SUM(AR5,AR8,AR11,AR14,AR17,AR20,AR23,AR26,AR29,AR32,AR35,AR38)</f>
        <v>5071.10999999999967</v>
      </c>
      <c r="AR41" s="70"/>
      <c r="AS41" s="70"/>
      <c r="AT41" s="79">
        <f>SUM(AT5,AT8,AT11,AT14,AT17,AT20,AT23,AT26,AT29,AT32,AT35,AT38)</f>
        <v>2837.69990800000005</v>
      </c>
      <c r="AU41" s="80"/>
    </row>
    <row r="42" spans="1:47" ht="12.75" customHeight="1">
      <c r="A42" s="48" t="s">
        <v>65</v>
      </c>
      <c r="B42" s="49" t="s">
        <v>50</v>
      </c>
      <c r="C42" s="50"/>
      <c r="D42" s="51">
        <f>(D3+D6+D9+D12+D15+D18+D21+D24+D27+D30+D33+D36)/12</f>
        <v>165.241666666665992</v>
      </c>
      <c r="E42" s="51">
        <f>D42*12/365</f>
        <v>5.43260273972599972</v>
      </c>
      <c r="F42" s="52">
        <f>D42*0.2734+5.5</f>
        <v>50.6770716666664995</v>
      </c>
      <c r="G42" s="53">
        <f>SUM(F42:F44)</f>
        <v>155.579919416666996</v>
      </c>
      <c r="H42" s="35"/>
      <c r="I42" s="48" t="s">
        <v>65</v>
      </c>
      <c r="J42" s="49" t="s">
        <v>50</v>
      </c>
      <c r="K42" s="50"/>
      <c r="L42" s="51">
        <f>(L3+L6+L9+L12+L15+L18+L21+L24+L27+L30+L33+L36)/12</f>
        <v>160.416666666666998</v>
      </c>
      <c r="M42" s="51">
        <f>L42*12/365</f>
        <v>5.27397260273972979</v>
      </c>
      <c r="N42" s="52">
        <f>L42*0.291+6</f>
        <v>52.6812500000000981</v>
      </c>
      <c r="O42" s="53">
        <f>SUM(N42:N44)</f>
        <v>154.724884716666992</v>
      </c>
      <c r="P42" s="35"/>
      <c r="Q42" s="48" t="s">
        <v>65</v>
      </c>
      <c r="R42" s="49" t="s">
        <v>50</v>
      </c>
      <c r="S42" s="50"/>
      <c r="T42" s="51">
        <f>(T3+T6+T9+T12+T15+T18+T21+T24+T27+T30+T33+T36)/12</f>
        <v>151.25</v>
      </c>
      <c r="U42" s="51">
        <f>T42*12/365</f>
        <v>4.97260273972602995</v>
      </c>
      <c r="V42" s="52">
        <f>T42*0.301+6</f>
        <v>51.5262499999999974</v>
      </c>
      <c r="W42" s="53">
        <f>SUM(V42:V44)</f>
        <v>142.443199016666995</v>
      </c>
      <c r="X42" s="35"/>
      <c r="Y42" s="48" t="s">
        <v>65</v>
      </c>
      <c r="Z42" s="49" t="s">
        <v>50</v>
      </c>
      <c r="AA42" s="50"/>
      <c r="AB42" s="51">
        <f>(AB3+AB6+AB9+AB12+AB15+AB18+AB21+AB24+AB27+AB30+AB33+AB36)/12</f>
        <v>150.183333333332996</v>
      </c>
      <c r="AC42" s="51">
        <f>AB42*12/365</f>
        <v>4.93753424657534001</v>
      </c>
      <c r="AD42" s="52">
        <f>AB42*0.301+6</f>
        <v>51.2051833333332027</v>
      </c>
      <c r="AE42" s="53">
        <f>SUM(AD42:AD44)</f>
        <v>167.591320583332987</v>
      </c>
      <c r="AF42" s="35"/>
      <c r="AG42" s="48" t="s">
        <v>65</v>
      </c>
      <c r="AH42" s="49" t="s">
        <v>50</v>
      </c>
      <c r="AI42" s="50"/>
      <c r="AJ42" s="51">
        <f>(AJ3+AJ6+AJ9+AJ12+AJ15+AJ18+AJ21+AJ24+AJ27+AJ30+AJ33+AJ36)/12</f>
        <v>153.266666666665998</v>
      </c>
      <c r="AK42" s="51">
        <f>AJ42*12/365</f>
        <v>5.03890410958901036</v>
      </c>
      <c r="AL42" s="52">
        <f>AJ42*0.301+9.42</f>
        <v>55.5532666666665023</v>
      </c>
      <c r="AM42" s="53">
        <f>SUM(AL42:AL44)</f>
        <v>175.765797200000009</v>
      </c>
      <c r="AN42" s="35"/>
      <c r="AO42" s="48" t="s">
        <v>65</v>
      </c>
      <c r="AP42" s="49" t="s">
        <v>50</v>
      </c>
      <c r="AQ42" s="50"/>
      <c r="AR42" s="51">
        <f>(AR3+AR6+AR9+AR12+AR15+AR18+AR21+AR24+AR27+AR30+AR33+AR36)/12</f>
        <v>-7478.18333333332976</v>
      </c>
      <c r="AS42" s="51">
        <f>AR42*12/365</f>
        <v>-245.858082191780994</v>
      </c>
      <c r="AT42" s="52">
        <f>AR42*0.301+9.42</f>
        <v>-2241.51318333332983</v>
      </c>
      <c r="AU42" s="53">
        <f>SUM(AT42:AT44)</f>
        <v>-2084.48393619999979</v>
      </c>
    </row>
    <row r="43" spans="1:47">
      <c r="A43" s="54"/>
      <c r="B43" s="55" t="s">
        <v>66</v>
      </c>
      <c r="C43" s="56"/>
      <c r="D43" s="56">
        <f>(D4+D7+D10+D13+D16+D19+D22+D25+D28+D31+D34+D37)/12</f>
        <v>8255</v>
      </c>
      <c r="E43" s="57">
        <f>D43*12/365</f>
        <v>271.397260273973018</v>
      </c>
      <c r="F43" s="58">
        <f>(D43/1000*1.12+3)*1.07</f>
        <v>13.1027920000000009</v>
      </c>
      <c r="G43" s="59"/>
      <c r="H43" s="35"/>
      <c r="I43" s="54"/>
      <c r="J43" s="55" t="s">
        <v>66</v>
      </c>
      <c r="K43" s="56"/>
      <c r="L43" s="56">
        <f>(L4+L7+L10+L13+L16+L19+L22+L25+L28+L31+L34+L37)/12</f>
        <v>8759.9166666666697</v>
      </c>
      <c r="M43" s="57">
        <f>L43*12/365</f>
        <v>287.997260273972984</v>
      </c>
      <c r="N43" s="58">
        <f>(L43/1000*1.12+3)*1.07</f>
        <v>13.7078841333333994</v>
      </c>
      <c r="O43" s="59"/>
      <c r="P43" s="35"/>
      <c r="Q43" s="54"/>
      <c r="R43" s="55" t="s">
        <v>66</v>
      </c>
      <c r="S43" s="56"/>
      <c r="T43" s="56">
        <f>(T4+T7+T10+T13+T16+T19+T22+T25+T28+T31+T34+T37)/12</f>
        <v>8966.5</v>
      </c>
      <c r="U43" s="57">
        <f>T43*12/365</f>
        <v>294.789041095890013</v>
      </c>
      <c r="V43" s="58">
        <f>(T43/1000*1.12+3)*1.07</f>
        <v>13.9554536000000002</v>
      </c>
      <c r="W43" s="59"/>
      <c r="X43" s="35"/>
      <c r="Y43" s="54"/>
      <c r="Z43" s="55" t="s">
        <v>66</v>
      </c>
      <c r="AA43" s="56"/>
      <c r="AB43" s="56">
        <f>(AB4+AB7+AB10+AB13+AB16+AB19+AB22+AB25+AB28+AB31+AB34+AB37)/12</f>
        <v>9342.5</v>
      </c>
      <c r="AC43" s="57">
        <f>AB43*12/365</f>
        <v>307.150684931506987</v>
      </c>
      <c r="AD43" s="58">
        <f>(AB43/1000*1.12+3)*1.07</f>
        <v>14.4060520000000007</v>
      </c>
      <c r="AE43" s="59"/>
      <c r="AF43" s="35"/>
      <c r="AG43" s="54"/>
      <c r="AH43" s="55" t="s">
        <v>66</v>
      </c>
      <c r="AI43" s="56"/>
      <c r="AJ43" s="56">
        <f>(AJ4+AJ7+AJ10+AJ13+AJ16+AJ19+AJ22+AJ25+AJ28+AJ31+AJ34+AJ37)/12</f>
        <v>9585.0833333333394</v>
      </c>
      <c r="AK43" s="57">
        <f>AJ43*12/365</f>
        <v>315.126027397259975</v>
      </c>
      <c r="AL43" s="58">
        <f>(AJ43/1000*1.12+3)*1.07</f>
        <v>14.6967638666666005</v>
      </c>
      <c r="AM43" s="59"/>
      <c r="AN43" s="35"/>
      <c r="AO43" s="54"/>
      <c r="AP43" s="55" t="s">
        <v>66</v>
      </c>
      <c r="AQ43" s="56"/>
      <c r="AR43" s="56">
        <f>(AR4+AR7+AR10+AR13+AR16+AR19+AR22+AR25+AR28+AR31+AR34+AR37)/12</f>
        <v>-68971.75</v>
      </c>
      <c r="AS43" s="57">
        <f>AR43*12/365</f>
        <v>-2267.56438356164017</v>
      </c>
      <c r="AT43" s="58">
        <f>(AR43/1000*1.12+3)*1.07</f>
        <v>-79.4457452000000046</v>
      </c>
      <c r="AU43" s="59"/>
    </row>
    <row r="44" spans="1:47">
      <c r="A44" s="60"/>
      <c r="B44" s="61" t="s">
        <v>67</v>
      </c>
      <c r="C44" s="62"/>
      <c r="D44" s="62">
        <f>(D5+D8+D11+D14+D17+D20+D23+D26+D29+D32+D35+D38)/12</f>
        <v>165.674166666666991</v>
      </c>
      <c r="E44" s="62">
        <f>D44*12/365</f>
        <v>5.44682191780821956</v>
      </c>
      <c r="F44" s="63">
        <f>D44/100*55.41</f>
        <v>91.8000557500001975</v>
      </c>
      <c r="G44" s="64"/>
      <c r="H44" s="35"/>
      <c r="I44" s="60"/>
      <c r="J44" s="61" t="s">
        <v>67</v>
      </c>
      <c r="K44" s="62"/>
      <c r="L44" s="62">
        <f>(L5+L8+L11+L14+L17+L20+L23+L26+L29+L32+L35+L38)/12</f>
        <v>172.58250000000001</v>
      </c>
      <c r="M44" s="62">
        <f>L44*12/365</f>
        <v>5.67394520547945014</v>
      </c>
      <c r="N44" s="63">
        <f>N41/12</f>
        <v>88.3357505833333931</v>
      </c>
      <c r="O44" s="64"/>
      <c r="P44" s="35"/>
      <c r="Q44" s="60"/>
      <c r="R44" s="61" t="s">
        <v>67</v>
      </c>
      <c r="S44" s="62"/>
      <c r="T44" s="62">
        <f>(T5+T8+T11+T14+T17+T20+T23+T26+T29+T32+T35+T38)/12</f>
        <v>171.90416666666701</v>
      </c>
      <c r="U44" s="62">
        <f>T44*12/365</f>
        <v>5.65164383561644001</v>
      </c>
      <c r="V44" s="63">
        <f>V41/12</f>
        <v>76.9614954166666934</v>
      </c>
      <c r="W44" s="64"/>
      <c r="X44" s="35"/>
      <c r="Y44" s="60"/>
      <c r="Z44" s="61" t="s">
        <v>67</v>
      </c>
      <c r="AA44" s="62"/>
      <c r="AB44" s="62">
        <f>(AB5+AB8+AB11+AB14+AB17+AB20+AB23+AB26+AB29+AB32+AB35+AB38)/12</f>
        <v>171.944166666667002</v>
      </c>
      <c r="AC44" s="62">
        <f>AB44*12/365</f>
        <v>5.65295890410958979</v>
      </c>
      <c r="AD44" s="63">
        <f>AD41/12</f>
        <v>101.980085250000002</v>
      </c>
      <c r="AE44" s="64"/>
      <c r="AF44" s="35"/>
      <c r="AG44" s="60"/>
      <c r="AH44" s="61" t="s">
        <v>67</v>
      </c>
      <c r="AI44" s="62"/>
      <c r="AJ44" s="62">
        <f>(AJ5+AJ8+AJ11+AJ14+AJ17+AJ20+AJ23+AJ26+AJ29+AJ32+AJ35+AJ38)/12</f>
        <v>168.038333333332986</v>
      </c>
      <c r="AK44" s="62">
        <f>AJ44*12/365</f>
        <v>5.5245479452054802</v>
      </c>
      <c r="AL44" s="63">
        <f>AL41/12</f>
        <v>105.515766666667005</v>
      </c>
      <c r="AM44" s="64"/>
      <c r="AN44" s="35"/>
      <c r="AO44" s="60"/>
      <c r="AP44" s="61" t="s">
        <v>67</v>
      </c>
      <c r="AQ44" s="62"/>
      <c r="AR44" s="62">
        <f>(AR5+AR8+AR11+AR14+AR17+AR20+AR23+AR26+AR29+AR32+AR35+AR38)/12</f>
        <v>422.592499999999973</v>
      </c>
      <c r="AS44" s="62">
        <f>AR44*12/365</f>
        <v>13.8934520547944995</v>
      </c>
      <c r="AT44" s="63">
        <f>AT41/12</f>
        <v>236.474992333333006</v>
      </c>
      <c r="AU44" s="64"/>
    </row>
    <row r="45" spans="1:1"/>
    <row r="47" spans="3:25">
      <c r="C47" s="24" t="s">
        <v>68</v>
      </c>
      <c r="D47" s="24" t="s">
        <v>69</v>
      </c>
      <c r="Y47" s="24" t="s">
        <v>68</v>
      </c>
    </row>
    <row r="50" spans="1:23" ht="21" customHeight="1">
      <c r="A50" s="46" t="s">
        <v>70</v>
      </c>
      <c r="B50" s="47"/>
      <c r="C50" s="47"/>
      <c r="D50" s="47"/>
      <c r="E50" s="47"/>
      <c r="F50" s="47"/>
      <c r="G50" s="47"/>
      <c r="I50" s="45" t="s">
        <v>71</v>
      </c>
      <c r="J50" s="6"/>
      <c r="K50" s="6"/>
      <c r="L50" s="6"/>
      <c r="M50" s="6"/>
      <c r="N50" s="6"/>
      <c r="Q50" s="45" t="s">
        <v>72</v>
      </c>
      <c r="R50" s="6"/>
      <c r="S50" s="6"/>
      <c r="T50" s="6"/>
      <c r="U50" s="6"/>
      <c r="V50" s="6"/>
      <c r="W50" s="6"/>
    </row>
  </sheetData>
  <mergeCells count="177">
    <mergeCell ref="A1:G1"/>
    <mergeCell ref="I1:O1"/>
    <mergeCell ref="Q1:W1"/>
    <mergeCell ref="Y1:AE1"/>
    <mergeCell ref="AG1:AM1"/>
    <mergeCell ref="AO1:AU1"/>
    <mergeCell ref="A3:A5"/>
    <mergeCell ref="G3:G5"/>
    <mergeCell ref="I3:I5"/>
    <mergeCell ref="O3:O5"/>
    <mergeCell ref="Q3:Q5"/>
    <mergeCell ref="W3:W5"/>
    <mergeCell ref="Y3:Y5"/>
    <mergeCell ref="AE3:AE5"/>
    <mergeCell ref="AG3:AG5"/>
    <mergeCell ref="AM3:AM5"/>
    <mergeCell ref="AO3:AO5"/>
    <mergeCell ref="AU3:AU5"/>
    <mergeCell ref="A6:A8"/>
    <mergeCell ref="G6:G8"/>
    <mergeCell ref="I6:I8"/>
    <mergeCell ref="O6:O8"/>
    <mergeCell ref="Q6:Q8"/>
    <mergeCell ref="W6:W8"/>
    <mergeCell ref="Y6:Y8"/>
    <mergeCell ref="AE6:AE8"/>
    <mergeCell ref="AG6:AG8"/>
    <mergeCell ref="AM6:AM8"/>
    <mergeCell ref="AO6:AO8"/>
    <mergeCell ref="AU6:AU8"/>
    <mergeCell ref="A9:A11"/>
    <mergeCell ref="G9:G11"/>
    <mergeCell ref="I9:I11"/>
    <mergeCell ref="O9:O11"/>
    <mergeCell ref="Q9:Q11"/>
    <mergeCell ref="W9:W11"/>
    <mergeCell ref="Y9:Y11"/>
    <mergeCell ref="AE9:AE11"/>
    <mergeCell ref="AG9:AG11"/>
    <mergeCell ref="AM9:AM11"/>
    <mergeCell ref="AO9:AO11"/>
    <mergeCell ref="AU9:AU11"/>
    <mergeCell ref="A12:A14"/>
    <mergeCell ref="G12:G14"/>
    <mergeCell ref="I12:I14"/>
    <mergeCell ref="O12:O14"/>
    <mergeCell ref="Q12:Q14"/>
    <mergeCell ref="W12:W14"/>
    <mergeCell ref="Y12:Y14"/>
    <mergeCell ref="AE12:AE14"/>
    <mergeCell ref="AG12:AG14"/>
    <mergeCell ref="AM12:AM14"/>
    <mergeCell ref="AO12:AO14"/>
    <mergeCell ref="AU12:AU14"/>
    <mergeCell ref="A15:A17"/>
    <mergeCell ref="G15:G17"/>
    <mergeCell ref="I15:I17"/>
    <mergeCell ref="O15:O17"/>
    <mergeCell ref="Q15:Q17"/>
    <mergeCell ref="W15:W17"/>
    <mergeCell ref="Y15:Y17"/>
    <mergeCell ref="AE15:AE17"/>
    <mergeCell ref="AG15:AG17"/>
    <mergeCell ref="AM15:AM17"/>
    <mergeCell ref="AO15:AO17"/>
    <mergeCell ref="AU15:AU17"/>
    <mergeCell ref="A18:A20"/>
    <mergeCell ref="G18:G20"/>
    <mergeCell ref="I18:I20"/>
    <mergeCell ref="O18:O20"/>
    <mergeCell ref="Q18:Q20"/>
    <mergeCell ref="W18:W20"/>
    <mergeCell ref="Y18:Y20"/>
    <mergeCell ref="AE18:AE20"/>
    <mergeCell ref="AG18:AG20"/>
    <mergeCell ref="AM18:AM20"/>
    <mergeCell ref="AO18:AO20"/>
    <mergeCell ref="AU18:AU20"/>
    <mergeCell ref="A21:A23"/>
    <mergeCell ref="G21:G23"/>
    <mergeCell ref="I21:I23"/>
    <mergeCell ref="O21:O23"/>
    <mergeCell ref="Q21:Q23"/>
    <mergeCell ref="W21:W23"/>
    <mergeCell ref="Y21:Y23"/>
    <mergeCell ref="AE21:AE23"/>
    <mergeCell ref="AG21:AG23"/>
    <mergeCell ref="AM21:AM23"/>
    <mergeCell ref="AO21:AO23"/>
    <mergeCell ref="AU21:AU23"/>
    <mergeCell ref="A24:A26"/>
    <mergeCell ref="G24:G26"/>
    <mergeCell ref="I24:I26"/>
    <mergeCell ref="O24:O26"/>
    <mergeCell ref="Q24:Q26"/>
    <mergeCell ref="W24:W26"/>
    <mergeCell ref="Y24:Y26"/>
    <mergeCell ref="AE24:AE26"/>
    <mergeCell ref="AG24:AG26"/>
    <mergeCell ref="AM24:AM26"/>
    <mergeCell ref="AO24:AO26"/>
    <mergeCell ref="AU24:AU26"/>
    <mergeCell ref="A27:A29"/>
    <mergeCell ref="G27:G29"/>
    <mergeCell ref="I27:I29"/>
    <mergeCell ref="O27:O29"/>
    <mergeCell ref="Q27:Q29"/>
    <mergeCell ref="W27:W29"/>
    <mergeCell ref="Y27:Y29"/>
    <mergeCell ref="AE27:AE29"/>
    <mergeCell ref="AG27:AG29"/>
    <mergeCell ref="AM27:AM29"/>
    <mergeCell ref="AO27:AO29"/>
    <mergeCell ref="AU27:AU29"/>
    <mergeCell ref="A30:A32"/>
    <mergeCell ref="G30:G32"/>
    <mergeCell ref="I30:I32"/>
    <mergeCell ref="O30:O32"/>
    <mergeCell ref="Q30:Q32"/>
    <mergeCell ref="W30:W32"/>
    <mergeCell ref="Y30:Y32"/>
    <mergeCell ref="AE30:AE32"/>
    <mergeCell ref="AG30:AG32"/>
    <mergeCell ref="AM30:AM32"/>
    <mergeCell ref="AO30:AO32"/>
    <mergeCell ref="AU30:AU32"/>
    <mergeCell ref="A33:A35"/>
    <mergeCell ref="G33:G35"/>
    <mergeCell ref="I33:I35"/>
    <mergeCell ref="O33:O35"/>
    <mergeCell ref="Q33:Q35"/>
    <mergeCell ref="W33:W35"/>
    <mergeCell ref="Y33:Y35"/>
    <mergeCell ref="AE33:AE35"/>
    <mergeCell ref="AG33:AG35"/>
    <mergeCell ref="AM33:AM35"/>
    <mergeCell ref="AO33:AO35"/>
    <mergeCell ref="AU33:AU35"/>
    <mergeCell ref="A36:A38"/>
    <mergeCell ref="G36:G38"/>
    <mergeCell ref="I36:I38"/>
    <mergeCell ref="O36:O38"/>
    <mergeCell ref="Q36:Q38"/>
    <mergeCell ref="W36:W38"/>
    <mergeCell ref="Y36:Y38"/>
    <mergeCell ref="AE36:AE38"/>
    <mergeCell ref="AG36:AG38"/>
    <mergeCell ref="AM36:AM38"/>
    <mergeCell ref="AO36:AO38"/>
    <mergeCell ref="AU36:AU38"/>
    <mergeCell ref="A39:A41"/>
    <mergeCell ref="G39:G41"/>
    <mergeCell ref="I39:I41"/>
    <mergeCell ref="O39:O41"/>
    <mergeCell ref="Q39:Q41"/>
    <mergeCell ref="W39:W41"/>
    <mergeCell ref="Y39:Y41"/>
    <mergeCell ref="AE39:AE41"/>
    <mergeCell ref="AG39:AG41"/>
    <mergeCell ref="AM39:AM41"/>
    <mergeCell ref="AO39:AO41"/>
    <mergeCell ref="AU39:AU41"/>
    <mergeCell ref="A42:A44"/>
    <mergeCell ref="G42:G44"/>
    <mergeCell ref="I42:I44"/>
    <mergeCell ref="O42:O44"/>
    <mergeCell ref="Q42:Q44"/>
    <mergeCell ref="W42:W44"/>
    <mergeCell ref="Y42:Y44"/>
    <mergeCell ref="AE42:AE44"/>
    <mergeCell ref="AG42:AG44"/>
    <mergeCell ref="AM42:AM44"/>
    <mergeCell ref="AO42:AO44"/>
    <mergeCell ref="AU42:AU44"/>
    <mergeCell ref="A50:G50"/>
    <mergeCell ref="I50:N50"/>
    <mergeCell ref="Q50:W50"/>
  </mergeCells>
  <printOptions>
    <extLst>
      <ext uri="smNativeData">
        <pm:pageFlags xmlns:pm="smNativeData" id="1598996201" printRowHead="0" printColHead="0" printHeadLine="0" printFootLine="0" autoHeightHeader="0" autoHeightFooter="0" fitToPageBoth="0"/>
      </ext>
    </extLst>
  </printOptions>
  <pageMargins left="0.787500" right="0.708333" top="0.787500" bottom="0.787500" header="0.000000" footer="0.000000"/>
  <pageSetup paperSize="9" scale="20" fitToWidth="0" fitToHeight="1"/>
  <headerFooter>
    <extLst>
      <ext uri="smNativeData">
        <pm:header xmlns:pm="smNativeData" id="1598996201" l="56" r="56" t="56" b="56" borderId="0" fillId="0" vertical="0"/>
        <pm:footer xmlns:pm="smNativeData" id="1598996201" l="56" r="56" t="56" b="56" borderId="0" fillId="0" vertical="2"/>
        <pm:paperBin xmlns:pm="smNativeData" id="1598996201" Id="0" type="0" value="0"/>
        <pm:paperBin xmlns:pm="smNativeData" id="1598996201" Id="1" type="0" value="0"/>
      </ext>
    </extLst>
  </headerFooter>
  <rowBreaks count="1" manualBreakCount="1">
    <brk id="45" man="1"/>
  </rowBreaks>
  <colBreaks count="1" manualBreakCount="1">
    <brk id="47" man="1"/>
  </colBreaks>
  <drawing r:id="rId1"/>
  <extLst>
    <ext uri="smNativeData">
      <pm:sheetPrefs xmlns:pm="smNativeData" day="159899620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Thomas Uwis</dc:creator>
  <cp:keywords/>
  <dc:description/>
  <cp:lastModifiedBy>Thomas Uwis</cp:lastModifiedBy>
  <cp:revision>0</cp:revision>
  <cp:lastPrinted>2020-08-02T20:50:49Z</cp:lastPrinted>
  <dcterms:created xsi:type="dcterms:W3CDTF">2002-12-21T21:38:22Z</dcterms:created>
  <dcterms:modified xsi:type="dcterms:W3CDTF">2020-09-01T21:36:41Z</dcterms:modified>
</cp:coreProperties>
</file>