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cono\Downloads\Royalty Calculator\final\"/>
    </mc:Choice>
  </mc:AlternateContent>
  <workbookProtection workbookAlgorithmName="SHA-512" workbookHashValue="GWeppmVLSFF9AeKaS7MFMg45BvBqgCFVx0i0HD5eokAzL6B7S6SstfNr3Z5l0A+NHbViBjiVBQFP4LI+CgUqfQ==" workbookSaltValue="0ghLd2CBqmHVa73oJSkYGw==" workbookSpinCount="100000" lockStructure="1"/>
  <bookViews>
    <workbookView showSheetTabs="0" xWindow="0" yWindow="0" windowWidth="19200" windowHeight="5895"/>
  </bookViews>
  <sheets>
    <sheet name="RoyaltyCalculator" sheetId="1" r:id="rId1"/>
    <sheet name="Lookup Tables" sheetId="3" r:id="rId2"/>
    <sheet name="Inputs" sheetId="2" r:id="rId3"/>
  </sheets>
  <definedNames>
    <definedName name="_xlnm._FilterDatabase" localSheetId="2" hidden="1">Inputs!$A$2:$H$18</definedName>
    <definedName name="_xlnm._FilterDatabase" localSheetId="1" hidden="1">'Lookup Tables'!$A$2:$H$18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 a="1"/>
  <c r="F9" i="1" s="1"/>
  <c r="A4" i="3" l="1" a="1"/>
  <c r="A4" i="3" s="1"/>
  <c r="A5" i="3" a="1"/>
  <c r="A5" i="3" s="1"/>
  <c r="A6" i="3" a="1"/>
  <c r="A6" i="3" s="1"/>
  <c r="A7" i="3" a="1"/>
  <c r="A7" i="3" s="1"/>
  <c r="A8" i="3" a="1"/>
  <c r="A8" i="3" s="1"/>
  <c r="A9" i="3" a="1"/>
  <c r="A9" i="3" s="1"/>
  <c r="A10" i="3" a="1"/>
  <c r="A10" i="3" s="1"/>
  <c r="A11" i="3" a="1"/>
  <c r="A11" i="3" s="1"/>
  <c r="A12" i="3" a="1"/>
  <c r="A12" i="3" s="1"/>
  <c r="A13" i="3" a="1"/>
  <c r="A13" i="3" s="1"/>
  <c r="A14" i="3" a="1"/>
  <c r="A14" i="3" s="1"/>
  <c r="A15" i="3" a="1"/>
  <c r="A15" i="3" s="1"/>
  <c r="A16" i="3" a="1"/>
  <c r="A16" i="3" s="1"/>
  <c r="A17" i="3" a="1"/>
  <c r="A17" i="3" s="1"/>
  <c r="A18" i="3" a="1"/>
  <c r="A18" i="3" s="1"/>
  <c r="A3" i="3" a="1"/>
  <c r="A3" i="3" s="1"/>
  <c r="C3" i="1" l="1"/>
  <c r="C4" i="1" l="1"/>
  <c r="J11" i="3" a="1"/>
  <c r="J11" i="3" s="1"/>
  <c r="M11" i="3" s="1"/>
  <c r="J10" i="3" a="1"/>
  <c r="J10" i="3" s="1"/>
  <c r="M10" i="3" s="1"/>
  <c r="J9" i="3" a="1"/>
  <c r="J9" i="3" s="1"/>
  <c r="M9" i="3" s="1"/>
  <c r="J7" i="3" a="1"/>
  <c r="J7" i="3" s="1"/>
  <c r="J8" i="3" a="1"/>
  <c r="J8" i="3" s="1"/>
  <c r="J5" i="3" a="1"/>
  <c r="J5" i="3" s="1"/>
  <c r="J6" i="3" a="1"/>
  <c r="J6" i="3" s="1"/>
  <c r="J4" i="3" l="1" a="1"/>
  <c r="J4" i="3" s="1"/>
  <c r="J3" i="3" a="1"/>
  <c r="J3" i="3" s="1"/>
  <c r="E3" i="3" l="1" a="1"/>
  <c r="E3" i="3" s="1"/>
  <c r="F3" i="3" a="1"/>
  <c r="F3" i="3" s="1"/>
  <c r="F17" i="3" a="1"/>
  <c r="F17" i="3" s="1"/>
  <c r="E17" i="3" a="1"/>
  <c r="E17" i="3" s="1"/>
  <c r="F7" i="3" a="1"/>
  <c r="F7" i="3" s="1"/>
  <c r="E7" i="3" a="1"/>
  <c r="E7" i="3" s="1"/>
  <c r="E11" i="3" a="1"/>
  <c r="E11" i="3" s="1"/>
  <c r="F11" i="3" a="1"/>
  <c r="F11" i="3" s="1"/>
  <c r="F15" i="3" a="1"/>
  <c r="F15" i="3" s="1"/>
  <c r="E15" i="3" a="1"/>
  <c r="E15" i="3" s="1"/>
  <c r="E4" i="3" a="1"/>
  <c r="E4" i="3" s="1"/>
  <c r="F4" i="3" a="1"/>
  <c r="F4" i="3" s="1"/>
  <c r="E8" i="3" a="1"/>
  <c r="E8" i="3" s="1"/>
  <c r="F8" i="3" a="1"/>
  <c r="F8" i="3" s="1"/>
  <c r="E12" i="3" a="1"/>
  <c r="E12" i="3" s="1"/>
  <c r="F12" i="3" a="1"/>
  <c r="F12" i="3" s="1"/>
  <c r="E16" i="3" a="1"/>
  <c r="E16" i="3" s="1"/>
  <c r="F16" i="3" a="1"/>
  <c r="F16" i="3" s="1"/>
  <c r="F5" i="3" a="1"/>
  <c r="F5" i="3" s="1"/>
  <c r="E5" i="3" a="1"/>
  <c r="E5" i="3" s="1"/>
  <c r="F9" i="3" a="1"/>
  <c r="F9" i="3" s="1"/>
  <c r="E9" i="3" a="1"/>
  <c r="E9" i="3" s="1"/>
  <c r="E13" i="3" a="1"/>
  <c r="E13" i="3" s="1"/>
  <c r="F13" i="3" a="1"/>
  <c r="F13" i="3" s="1"/>
  <c r="E6" i="3" a="1"/>
  <c r="E6" i="3" s="1"/>
  <c r="F6" i="3" a="1"/>
  <c r="F6" i="3" s="1"/>
  <c r="E10" i="3" a="1"/>
  <c r="E10" i="3" s="1"/>
  <c r="F10" i="3" a="1"/>
  <c r="F10" i="3" s="1"/>
  <c r="E14" i="3" a="1"/>
  <c r="E14" i="3" s="1"/>
  <c r="F14" i="3" a="1"/>
  <c r="F14" i="3" s="1"/>
  <c r="E18" i="3" a="1"/>
  <c r="E18" i="3" s="1"/>
  <c r="F18" i="3" a="1"/>
  <c r="F18" i="3" s="1"/>
  <c r="G4" i="3" l="1"/>
  <c r="G5" i="3"/>
  <c r="G12" i="3"/>
  <c r="G3" i="3"/>
  <c r="G9" i="3"/>
  <c r="G8" i="3"/>
  <c r="G11" i="3"/>
  <c r="H16" i="3"/>
  <c r="H14" i="3"/>
  <c r="H6" i="3"/>
  <c r="H12" i="3"/>
  <c r="H4" i="3"/>
  <c r="G17" i="3"/>
  <c r="H18" i="3"/>
  <c r="G14" i="3"/>
  <c r="H10" i="3"/>
  <c r="G13" i="3"/>
  <c r="H8" i="3"/>
  <c r="G15" i="3"/>
  <c r="G7" i="3"/>
  <c r="G16" i="3"/>
  <c r="G18" i="3"/>
  <c r="G10" i="3"/>
  <c r="G6" i="3"/>
  <c r="H9" i="3"/>
  <c r="H5" i="3"/>
  <c r="H15" i="3"/>
  <c r="H7" i="3"/>
  <c r="H17" i="3"/>
  <c r="H13" i="3"/>
  <c r="H11" i="3"/>
  <c r="H3" i="3"/>
  <c r="E13" i="1" l="1"/>
  <c r="E14" i="1" s="1"/>
  <c r="F11" i="1" s="1"/>
  <c r="E16" i="1" l="1"/>
  <c r="F16" i="1" s="1"/>
  <c r="E15" i="1"/>
  <c r="F15" i="1" s="1"/>
</calcChain>
</file>

<file path=xl/sharedStrings.xml><?xml version="1.0" encoding="utf-8"?>
<sst xmlns="http://schemas.openxmlformats.org/spreadsheetml/2006/main" count="204" uniqueCount="44">
  <si>
    <t>Updated Date</t>
  </si>
  <si>
    <t>Marketplace</t>
  </si>
  <si>
    <t>Fixed Cost</t>
  </si>
  <si>
    <t>Per Page</t>
  </si>
  <si>
    <t>Interior Type</t>
  </si>
  <si>
    <t>Amazon.co.uk</t>
  </si>
  <si>
    <t>Min Page Count</t>
  </si>
  <si>
    <t>Max Page Count</t>
  </si>
  <si>
    <t>Amazon.de</t>
  </si>
  <si>
    <t>Amazon.fr/Amazon.it/Amazon.es</t>
  </si>
  <si>
    <t>Channel</t>
  </si>
  <si>
    <t>Currency</t>
  </si>
  <si>
    <t>GBP</t>
  </si>
  <si>
    <t>EUR</t>
  </si>
  <si>
    <t>Pinting Costs by Channel</t>
  </si>
  <si>
    <t>Currency Exchange Rates</t>
  </si>
  <si>
    <t>From Currency</t>
  </si>
  <si>
    <t>To Currency</t>
  </si>
  <si>
    <t>USD</t>
  </si>
  <si>
    <t>Amazon.com</t>
  </si>
  <si>
    <t>Pricing Tier</t>
  </si>
  <si>
    <t>Tier 1</t>
  </si>
  <si>
    <t>Tier 2</t>
  </si>
  <si>
    <t>Exchange Rate</t>
  </si>
  <si>
    <t>Symbol</t>
  </si>
  <si>
    <t>€</t>
  </si>
  <si>
    <t>£</t>
  </si>
  <si>
    <t>$</t>
  </si>
  <si>
    <t>Selected Channel Currency</t>
  </si>
  <si>
    <t>Amazon.fr</t>
  </si>
  <si>
    <t>Amazon.it</t>
  </si>
  <si>
    <t>Amazon.es</t>
  </si>
  <si>
    <t>Farbige Tinte</t>
  </si>
  <si>
    <t>Tantiemenrechner</t>
  </si>
  <si>
    <t>Die Werte, die mit diesem Tool berechnet werden, sind lediglich Schätzwerte. Die Tantiemen, die Sie tatsächlich verdienen, werden beim Einrichten des Buchs ermittelt.</t>
  </si>
  <si>
    <t>Schwarze Tinte</t>
  </si>
  <si>
    <t>1. Geben Sie den Inhaltstyp ein:</t>
  </si>
  <si>
    <t>2. Geben Sie die Anzahl der Seiten ein:</t>
  </si>
  <si>
    <t>3. Wählen Sie einen Vertriebskanal aus:</t>
  </si>
  <si>
    <t>4. Geben Sie den erwarteten Listenpreis ein:</t>
  </si>
  <si>
    <t>Druckkosten:</t>
  </si>
  <si>
    <t>Mindestlistenpreis:</t>
  </si>
  <si>
    <t>Amazon-Tantiemen:</t>
  </si>
  <si>
    <t>Tantiemen aus dem erweiterten Vertrieb: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</si>
</sst>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.000_);_(&quot;$&quot;* \(#,##0.000\);_(&quot;$&quot;* &quot;-&quot;??_);_(@_)"/>
    <numFmt numFmtId="165" formatCode="_(* #,##0_);_(* \(#,##0\);_(* &quot;-&quot;??_);_(@_)"/>
    <numFmt numFmtId="166" formatCode="_-[$£-809]* #,##0.00_-;\-[$£-809]* #,##0.00_-;_-[$£-809]* &quot;-&quot;??_-;_-@_-"/>
    <numFmt numFmtId="167" formatCode="_-[$£-809]* #,##0.000_-;\-[$£-809]* #,##0.000_-;_-[$£-809]* &quot;-&quot;??_-;_-@_-"/>
    <numFmt numFmtId="168" formatCode="_([$€-2]\ * #,##0.00_);_([$€-2]\ * \(#,##0.00\);_([$€-2]\ * &quot;-&quot;??_);_(@_)"/>
    <numFmt numFmtId="169" formatCode="_([$€-2]\ * #,##0.000_);_([$€-2]\ * \(#,##0.000\);_([$€-2]\ * &quot;-&quot;??_);_(@_)"/>
    <numFmt numFmtId="170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rgb="FFFDA507"/>
      <name val="Amazon Ember Medium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0" tint="-0.14993743705557422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7">
    <xf numFmtId="0" fontId="0" fillId="0" borderId="0" xfId="0"/>
    <xf numFmtId="14" fontId="0" fillId="0" borderId="0" xfId="0" applyNumberFormat="1"/>
    <xf numFmtId="164" fontId="0" fillId="0" borderId="0" xfId="2" applyNumberFormat="1" applyFont="1"/>
    <xf numFmtId="44" fontId="0" fillId="0" borderId="0" xfId="2" applyNumberFormat="1" applyFont="1"/>
    <xf numFmtId="165" fontId="0" fillId="0" borderId="0" xfId="1" applyNumberFormat="1" applyFont="1"/>
    <xf numFmtId="166" fontId="0" fillId="0" borderId="0" xfId="2" applyNumberFormat="1" applyFont="1"/>
    <xf numFmtId="167" fontId="0" fillId="0" borderId="0" xfId="2" applyNumberFormat="1" applyFont="1"/>
    <xf numFmtId="168" fontId="0" fillId="0" borderId="0" xfId="2" applyNumberFormat="1" applyFont="1"/>
    <xf numFmtId="169" fontId="0" fillId="0" borderId="0" xfId="2" applyNumberFormat="1" applyFont="1"/>
    <xf numFmtId="0" fontId="2" fillId="0" borderId="10" xfId="0" applyFont="1" applyBorder="1"/>
    <xf numFmtId="165" fontId="2" fillId="0" borderId="10" xfId="1" applyNumberFormat="1" applyFont="1" applyBorder="1"/>
    <xf numFmtId="44" fontId="2" fillId="0" borderId="10" xfId="2" applyNumberFormat="1" applyFont="1" applyBorder="1"/>
    <xf numFmtId="164" fontId="2" fillId="0" borderId="10" xfId="2" applyNumberFormat="1" applyFont="1" applyBorder="1"/>
    <xf numFmtId="0" fontId="0" fillId="2" borderId="0" xfId="0" applyFill="1"/>
    <xf numFmtId="165" fontId="0" fillId="2" borderId="0" xfId="1" applyNumberFormat="1" applyFont="1" applyFill="1"/>
    <xf numFmtId="44" fontId="0" fillId="2" borderId="0" xfId="2" applyNumberFormat="1" applyFont="1" applyFill="1"/>
    <xf numFmtId="164" fontId="0" fillId="2" borderId="0" xfId="2" applyNumberFormat="1" applyFont="1" applyFill="1"/>
    <xf numFmtId="44" fontId="0" fillId="0" borderId="0" xfId="0" applyNumberFormat="1"/>
    <xf numFmtId="0" fontId="5" fillId="0" borderId="0" xfId="0" applyFont="1"/>
    <xf numFmtId="0" fontId="2" fillId="0" borderId="10" xfId="0" applyFont="1" applyFill="1" applyBorder="1"/>
    <xf numFmtId="0" fontId="2" fillId="0" borderId="0" xfId="0" applyFont="1" applyFill="1" applyBorder="1"/>
    <xf numFmtId="0" fontId="0" fillId="3" borderId="0" xfId="0" applyFill="1" applyProtection="1">
      <protection hidden="1"/>
    </xf>
    <xf numFmtId="0" fontId="0" fillId="3" borderId="2" xfId="0" applyFill="1" applyBorder="1" applyProtection="1">
      <protection hidden="1"/>
    </xf>
    <xf numFmtId="0" fontId="0" fillId="3" borderId="3" xfId="0" applyFill="1" applyBorder="1" applyProtection="1">
      <protection hidden="1"/>
    </xf>
    <xf numFmtId="0" fontId="0" fillId="3" borderId="4" xfId="0" applyFill="1" applyBorder="1" applyProtection="1">
      <protection hidden="1"/>
    </xf>
    <xf numFmtId="0" fontId="0" fillId="3" borderId="5" xfId="0" applyFill="1" applyBorder="1" applyProtection="1">
      <protection hidden="1"/>
    </xf>
    <xf numFmtId="3" fontId="8" fillId="3" borderId="0" xfId="0" applyNumberFormat="1" applyFont="1" applyFill="1" applyBorder="1" applyAlignment="1" applyProtection="1">
      <alignment horizontal="left" indent="2"/>
      <protection hidden="1"/>
    </xf>
    <xf numFmtId="0" fontId="0" fillId="3" borderId="0" xfId="0" applyFill="1" applyBorder="1" applyProtection="1">
      <protection hidden="1"/>
    </xf>
    <xf numFmtId="0" fontId="0" fillId="3" borderId="6" xfId="0" applyFill="1" applyBorder="1" applyProtection="1">
      <protection hidden="1"/>
    </xf>
    <xf numFmtId="0" fontId="4" fillId="3" borderId="11" xfId="0" applyFont="1" applyFill="1" applyBorder="1" applyAlignment="1" applyProtection="1">
      <alignment wrapText="1"/>
      <protection hidden="1"/>
    </xf>
    <xf numFmtId="0" fontId="6" fillId="3" borderId="0" xfId="0" applyFont="1" applyFill="1" applyBorder="1" applyProtection="1">
      <protection hidden="1"/>
    </xf>
    <xf numFmtId="0" fontId="7" fillId="3" borderId="0" xfId="0" applyFont="1" applyFill="1" applyBorder="1" applyAlignment="1" applyProtection="1">
      <alignment horizontal="left"/>
      <protection hidden="1"/>
    </xf>
    <xf numFmtId="0" fontId="7" fillId="3" borderId="0" xfId="0" applyFont="1" applyFill="1" applyBorder="1" applyAlignment="1" applyProtection="1">
      <alignment horizontal="right" indent="1"/>
      <protection hidden="1"/>
    </xf>
    <xf numFmtId="0" fontId="6" fillId="3" borderId="1" xfId="0" applyFont="1" applyFill="1" applyBorder="1" applyAlignment="1" applyProtection="1">
      <alignment horizontal="center"/>
      <protection locked="0" hidden="1"/>
    </xf>
    <xf numFmtId="3" fontId="6" fillId="3" borderId="1" xfId="0" applyNumberFormat="1" applyFont="1" applyFill="1" applyBorder="1" applyAlignment="1" applyProtection="1">
      <alignment horizontal="center"/>
      <protection locked="0" hidden="1"/>
    </xf>
    <xf numFmtId="0" fontId="3" fillId="3" borderId="0" xfId="0" applyFont="1" applyFill="1" applyBorder="1" applyAlignment="1" applyProtection="1">
      <alignment horizontal="left"/>
      <protection hidden="1"/>
    </xf>
    <xf numFmtId="0" fontId="6" fillId="3" borderId="1" xfId="0" applyNumberFormat="1" applyFont="1" applyFill="1" applyBorder="1" applyAlignment="1" applyProtection="1">
      <alignment horizontal="center"/>
      <protection locked="0" hidden="1"/>
    </xf>
    <xf numFmtId="0" fontId="6" fillId="3" borderId="0" xfId="0" applyFont="1" applyFill="1" applyProtection="1">
      <protection hidden="1"/>
    </xf>
    <xf numFmtId="0" fontId="7" fillId="3" borderId="0" xfId="0" applyFont="1" applyFill="1" applyBorder="1" applyAlignment="1" applyProtection="1">
      <alignment horizontal="left" indent="1"/>
      <protection hidden="1"/>
    </xf>
    <xf numFmtId="0" fontId="6" fillId="3" borderId="0" xfId="0" applyNumberFormat="1" applyFont="1" applyFill="1" applyBorder="1" applyAlignment="1" applyProtection="1">
      <alignment horizontal="center"/>
      <protection hidden="1"/>
    </xf>
    <xf numFmtId="170" fontId="7" fillId="3" borderId="1" xfId="2" applyNumberFormat="1" applyFont="1" applyFill="1" applyBorder="1" applyAlignment="1" applyProtection="1">
      <alignment horizontal="center"/>
      <protection hidden="1"/>
    </xf>
    <xf numFmtId="0" fontId="0" fillId="3" borderId="7" xfId="0" applyFill="1" applyBorder="1" applyProtection="1">
      <protection hidden="1"/>
    </xf>
    <xf numFmtId="0" fontId="6" fillId="3" borderId="8" xfId="0" applyFont="1" applyFill="1" applyBorder="1" applyProtection="1">
      <protection hidden="1"/>
    </xf>
    <xf numFmtId="0" fontId="0" fillId="3" borderId="9" xfId="0" applyFill="1" applyBorder="1" applyProtection="1">
      <protection hidden="1"/>
    </xf>
    <xf numFmtId="0" fontId="9" fillId="3" borderId="0" xfId="0" applyFont="1" applyFill="1" applyAlignment="1" applyProtection="1">
      <alignment horizontal="left" vertical="center" wrapText="1"/>
      <protection hidden="1"/>
    </xf>
    <xf numFmtId="0" fontId="4" fillId="3" borderId="11" xfId="0" applyFont="1" applyFill="1" applyBorder="1" applyAlignment="1" applyProtection="1">
      <alignment horizontal="left" wrapText="1"/>
      <protection hidden="1"/>
    </xf>
    <xf numFmtId="0" fontId="4" fillId="3" borderId="0" xfId="0" applyFont="1" applyFill="1" applyBorder="1" applyAlignment="1" applyProtection="1">
      <alignment horizontal="left" wrapText="1"/>
      <protection hidden="1"/>
    </xf>
  </cellXfs>
  <cellStyles count="3">
    <cellStyle name="Comma" xfId="1" builtinId="3"/>
    <cellStyle name="Currency" xfId="2" builtinId="4"/>
    <cellStyle name="Normal" xfId="0" builtinId="0"/>
  </cellStyles>
  <dxfs count="4">
    <dxf>
      <numFmt numFmtId="170" formatCode="&quot;$&quot;#,##0.00"/>
    </dxf>
    <dxf>
      <numFmt numFmtId="171" formatCode="[$€-2]\ #,##0.00"/>
    </dxf>
    <dxf>
      <numFmt numFmtId="172" formatCode="[$£-809]#,##0.00"/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A41D"/>
      <color rgb="FFFF9801"/>
      <color rgb="FFF29000"/>
      <color rgb="FFF69200"/>
      <color rgb="FFFF990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135255</xdr:colOff>
      <xdr:row>1</xdr:row>
      <xdr:rowOff>85725</xdr:rowOff>
    </xdr:from>
    <xdr:to>
      <xdr:col>2</xdr:col>
      <xdr:colOff>1535430</xdr:colOff>
      <xdr:row>4</xdr:row>
      <xdr:rowOff>106363</xdr:rowOff>
    </xdr:to>
    <xdr:pic>
      <xdr:nvPicPr>
        <xdr:cNvPr id="3" name="Picture 2" descr="Image result for kindle direct publishin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029" r="9029"/>
        <a:stretch/>
      </xdr:blipFill>
      <xdr:spPr bwMode="auto">
        <a:xfrm>
          <a:off x="135255" y="285750"/>
          <a:ext cx="1666875" cy="5921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17"/>
  <sheetViews>
    <sheetView showGridLines="0" showRowColHeaders="0" tabSelected="1" workbookViewId="0">
      <selection activeCell="E8" sqref="E8"/>
    </sheetView>
  </sheetViews>
  <sheetFormatPr defaultRowHeight="15" x14ac:dyDescent="0.25"/>
  <cols>
    <col min="1" max="1" width="2.7109375" style="21" customWidth="1"/>
    <col min="2" max="2" width="1.28515625" style="21" customWidth="1"/>
    <col min="3" max="3" width="23.28515625" style="21" customWidth="1"/>
    <col min="4" max="4" width="17.42578125" style="21" customWidth="1"/>
    <col min="5" max="5" width="22.85546875" style="21" customWidth="1"/>
    <col min="6" max="9" width="15.7109375" style="21" customWidth="1"/>
    <col min="10" max="10" width="1.28515625" style="21" customWidth="1"/>
    <col min="11" max="16384" width="9.140625" style="21"/>
  </cols>
  <sheetData>
    <row r="1" spans="2:10" ht="15.75" thickBot="1" x14ac:dyDescent="0.3"/>
    <row r="2" spans="2:10" ht="15" customHeight="1" x14ac:dyDescent="0.25">
      <c r="B2" s="22"/>
      <c r="C2" s="23"/>
      <c r="D2" s="23"/>
      <c r="E2" s="23"/>
      <c r="F2" s="23"/>
      <c r="G2" s="23"/>
      <c r="H2" s="23"/>
      <c r="I2" s="23"/>
      <c r="J2" s="24"/>
    </row>
    <row r="3" spans="2:10" ht="15" customHeight="1" x14ac:dyDescent="0.3">
      <c r="B3" s="25"/>
      <c r="C3" s="26" t="str">
        <f>IFERROR(VLOOKUP(E10,'Lookup Tables'!R:S,2,FALSE),"")</f>
        <v>Amazon.com</v>
      </c>
      <c r="D3" s="45" t="s">
        <v>33</v>
      </c>
      <c r="E3" s="46"/>
      <c r="F3" s="27"/>
      <c r="G3" s="27"/>
      <c r="H3" s="27"/>
      <c r="I3" s="27"/>
      <c r="J3" s="28"/>
    </row>
    <row r="4" spans="2:10" ht="15" customHeight="1" x14ac:dyDescent="0.3">
      <c r="B4" s="25"/>
      <c r="C4" s="26" t="str">
        <f>IFERROR(VLOOKUP(C3,'Lookup Tables'!U:V,2,FALSE),"")</f>
        <v>USD</v>
      </c>
      <c r="D4" s="29"/>
      <c r="F4" s="27"/>
      <c r="G4" s="27"/>
      <c r="H4" s="27"/>
      <c r="I4" s="27"/>
      <c r="J4" s="28"/>
    </row>
    <row r="5" spans="2:10" ht="15" customHeight="1" x14ac:dyDescent="0.25">
      <c r="B5" s="25"/>
      <c r="C5" s="27"/>
      <c r="D5" s="27"/>
      <c r="E5" s="27"/>
      <c r="F5" s="27"/>
      <c r="I5" s="27"/>
      <c r="J5" s="28"/>
    </row>
    <row r="6" spans="2:10" ht="30" customHeight="1" x14ac:dyDescent="0.25">
      <c r="B6" s="25"/>
      <c r="C6" s="44" t="s">
        <v>34</v>
      </c>
      <c r="D6" s="44"/>
      <c r="E6" s="44"/>
      <c r="F6" s="44"/>
      <c r="G6" s="44"/>
      <c r="H6" s="44"/>
      <c r="I6" s="44"/>
      <c r="J6" s="28"/>
    </row>
    <row r="7" spans="2:10" ht="15" customHeight="1" thickBot="1" x14ac:dyDescent="0.3">
      <c r="B7" s="25"/>
      <c r="C7" s="30"/>
      <c r="D7" s="30"/>
      <c r="E7" s="30"/>
      <c r="F7" s="30"/>
      <c r="G7" s="30"/>
      <c r="H7" s="30"/>
      <c r="I7" s="30"/>
      <c r="J7" s="28"/>
    </row>
    <row r="8" spans="2:10" ht="15.75" thickBot="1" x14ac:dyDescent="0.3">
      <c r="B8" s="25"/>
      <c r="C8" s="31" t="s">
        <v>36</v>
      </c>
      <c r="D8" s="32"/>
      <c r="E8" s="33"/>
      <c r="F8" s="30"/>
      <c r="G8" s="30"/>
      <c r="H8" s="30"/>
      <c r="I8" s="30"/>
      <c r="J8" s="28"/>
    </row>
    <row r="9" spans="2:10" ht="15.75" thickBot="1" x14ac:dyDescent="0.3">
      <c r="B9" s="25"/>
      <c r="C9" s="31" t="s">
        <v>37</v>
      </c>
      <c r="E9" s="34"/>
      <c r="F9" s="35" t="str">
        <f t="array" ref="F9">IF(E9="","",IF($E$8="","*Wählen Sie einen Inhaltstyp aus",IF(E9&lt;MIN(IF(MAX(IF(Inputs!C:C=$E$8,Inputs!A:A))=Inputs!A:A,IF(Inputs!C:C=E8,Inputs!E:E))),"*Die minimal zulässige Seitenanzahl liegt bei "&amp;MIN(IF(MAX(IF(Inputs!C:C=$E$8,Inputs!A:A))=Inputs!A:A,IF(Inputs!C:C=$E$8,Inputs!E:E))),IF(E9&gt;MAX(IF(MAX(IF(Inputs!C:C=$E$8,Inputs!A:A))=Inputs!A:A,IF(Inputs!C:C=E8,Inputs!F:F))),"*Die maximal zulässige Seitenanzahl liegt bei "&amp;MAX(IF(MAX(IF(Inputs!C:C=$E$8,Inputs!A:A))=Inputs!A:A,IF(Inputs!C:C=$E$8,Inputs!F:F))),""))))</f>
        <v/>
      </c>
      <c r="G9" s="30"/>
      <c r="H9" s="30"/>
      <c r="I9" s="30"/>
      <c r="J9" s="28"/>
    </row>
    <row r="10" spans="2:10" ht="15.75" thickBot="1" x14ac:dyDescent="0.3">
      <c r="B10" s="25"/>
      <c r="C10" s="31" t="s">
        <v>38</v>
      </c>
      <c r="E10" s="33" t="s">
        <v>19</v>
      </c>
      <c r="I10" s="30"/>
      <c r="J10" s="28"/>
    </row>
    <row r="11" spans="2:10" ht="15.75" thickBot="1" x14ac:dyDescent="0.3">
      <c r="B11" s="25"/>
      <c r="C11" s="31" t="s">
        <v>39</v>
      </c>
      <c r="E11" s="36"/>
      <c r="F11" s="35" t="str">
        <f>IFERROR(IF($E$11&lt;$E$14,"*Der Mindestlistenpreis liegt bei "&amp;VLOOKUP($C$4,'Lookup Tables'!O:P,2,FALSE)&amp;" "&amp;TEXT(ROUND($E$14,2),"0.00"),""),"")</f>
        <v/>
      </c>
      <c r="G11" s="30"/>
      <c r="H11" s="30"/>
      <c r="I11" s="37"/>
      <c r="J11" s="28"/>
    </row>
    <row r="12" spans="2:10" ht="15.75" thickBot="1" x14ac:dyDescent="0.3">
      <c r="B12" s="25"/>
      <c r="C12" s="38"/>
      <c r="E12" s="39"/>
      <c r="F12" s="30"/>
      <c r="G12" s="30"/>
      <c r="H12" s="30"/>
      <c r="I12" s="37"/>
      <c r="J12" s="28"/>
    </row>
    <row r="13" spans="2:10" ht="15.75" thickBot="1" x14ac:dyDescent="0.3">
      <c r="B13" s="25"/>
      <c r="C13" s="31" t="s">
        <v>40</v>
      </c>
      <c r="E13" s="40">
        <f>IFERROR(ROUNDUP(IF($E$11="",0,SUMIFS('Lookup Tables'!$G:$G,'Lookup Tables'!$C:$C,$E$8,'Lookup Tables'!$D:$D,$C$3,'Lookup Tables'!$E:$E,"&lt;="&amp;$E$9,'Lookup Tables'!$F:$F,"&gt;="&amp;$E$9)+(SUMIFS('Lookup Tables'!$H:$H,'Lookup Tables'!$C:$C,$E$8,'Lookup Tables'!$D:$D,$C$3,'Lookup Tables'!$E:$E,"&lt;="&amp;$E$9,'Lookup Tables'!$F:$F,"&gt;="&amp;$E$9)*$E$9)),2),0)</f>
        <v>0</v>
      </c>
      <c r="F13" s="30"/>
      <c r="G13" s="30"/>
      <c r="H13" s="30"/>
      <c r="I13" s="37"/>
      <c r="J13" s="28"/>
    </row>
    <row r="14" spans="2:10" ht="15.75" thickBot="1" x14ac:dyDescent="0.3">
      <c r="B14" s="25"/>
      <c r="C14" s="31" t="s">
        <v>41</v>
      </c>
      <c r="E14" s="40">
        <f>IFERROR(ROUNDUP($E$13/0.6,2),0)</f>
        <v>0</v>
      </c>
      <c r="F14" s="30"/>
      <c r="G14" s="30"/>
      <c r="H14" s="30"/>
      <c r="I14" s="37"/>
      <c r="J14" s="28"/>
    </row>
    <row r="15" spans="2:10" ht="15.75" thickBot="1" x14ac:dyDescent="0.3">
      <c r="B15" s="25"/>
      <c r="C15" s="31" t="s">
        <v>42</v>
      </c>
      <c r="E15" s="40">
        <f>IFERROR(ROUNDUP(IF($E$13=0,0,($E$11*0.6)-$E$13),2),0)</f>
        <v>0</v>
      </c>
      <c r="F15" s="35" t="str">
        <f>IF($E$15&lt;0,"*Der Listenpreis liegt unter dem zulässigen Mindestlistenpreis","")</f>
        <v/>
      </c>
      <c r="G15" s="30"/>
      <c r="H15" s="30"/>
      <c r="I15" s="37"/>
      <c r="J15" s="28"/>
    </row>
    <row r="16" spans="2:10" ht="15.75" thickBot="1" x14ac:dyDescent="0.3">
      <c r="B16" s="25"/>
      <c r="C16" s="31" t="s">
        <v>43</v>
      </c>
      <c r="E16" s="40">
        <f>IFERROR(ROUNDUP(IF($E$13=0,0,($E$11*0.4)-$E$13),2),0)</f>
        <v>0</v>
      </c>
      <c r="F16" s="35" t="str">
        <f>IFERROR(IF($E$16&lt;0,"*Der Listenpreis ist für den erweiterten Vertrieb zu niedrig",""),"")</f>
        <v/>
      </c>
      <c r="G16" s="37"/>
      <c r="H16" s="37"/>
      <c r="J16" s="28"/>
    </row>
    <row r="17" spans="2:10" ht="15.75" thickBot="1" x14ac:dyDescent="0.3">
      <c r="B17" s="41"/>
      <c r="C17" s="42"/>
      <c r="D17" s="42"/>
      <c r="E17" s="42"/>
      <c r="F17" s="42"/>
      <c r="G17" s="42"/>
      <c r="H17" s="42"/>
      <c r="I17" s="42"/>
      <c r="J17" s="43"/>
    </row>
  </sheetData>
  <sheetProtection algorithmName="SHA-512" hashValue="mPfhGncAu2k2UQlXFwgoP411a6v48aOSviKgNmFjFQNmm/sTruHSRfCoKFDBaIiKkc3dU6pGc/NaM27jXfh6bg==" saltValue="u+XYeL8CdAcBG2QASq0AHQ==" spinCount="100000" sheet="1" selectLockedCells="1"/>
  <mergeCells count="2">
    <mergeCell ref="C6:I6"/>
    <mergeCell ref="D3:E3"/>
  </mergeCells>
  <conditionalFormatting sqref="E15:E16">
    <cfRule type="expression" dxfId="3" priority="1">
      <formula>E15&lt;0</formula>
    </cfRule>
  </conditionalFormatting>
  <conditionalFormatting sqref="E11:E16">
    <cfRule type="expression" dxfId="2" priority="17">
      <formula>$C$4="GBP"</formula>
    </cfRule>
    <cfRule type="expression" dxfId="1" priority="18">
      <formula>$C$4="EUR"</formula>
    </cfRule>
    <cfRule type="expression" dxfId="0" priority="19">
      <formula>$C$4="USD"</formula>
    </cfRule>
  </conditionalFormatting>
  <dataValidations count="3">
    <dataValidation type="list" allowBlank="1" showInputMessage="1" showErrorMessage="1" sqref="E8">
      <formula1>"Schwarze Tinte,Farbige Tinte"</formula1>
    </dataValidation>
    <dataValidation type="decimal" allowBlank="1" showInputMessage="1" showErrorMessage="1" sqref="E11:E12">
      <formula1>0</formula1>
      <formula2>1000000</formula2>
    </dataValidation>
    <dataValidation type="whole" allowBlank="1" showInputMessage="1" showErrorMessage="1" sqref="E9">
      <formula1>0</formula1>
      <formula2>1000000</formula2>
    </dataValidation>
  </dataValidations>
  <printOptions horizontalCentered="1" verticalCentered="1"/>
  <pageMargins left="0.7" right="0.7" top="0.75" bottom="0.75" header="0.3" footer="0.3"/>
  <pageSetup scale="9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'Lookup Tables'!$R$3:$R$8</xm:f>
          </x14:formula1>
          <xm:sqref>E10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18"/>
  <sheetViews>
    <sheetView workbookViewId="0">
      <selection activeCell="E25" sqref="E25"/>
    </sheetView>
  </sheetViews>
  <sheetFormatPr defaultRowHeight="15" x14ac:dyDescent="0.25"/>
  <cols>
    <col min="1" max="2" width="13.42578125" customWidth="1"/>
    <col min="3" max="3" width="14.7109375" bestFit="1" customWidth="1"/>
    <col min="4" max="4" width="31.28515625" customWidth="1"/>
    <col min="5" max="5" width="16.5703125" customWidth="1"/>
    <col min="6" max="6" width="16.85546875" customWidth="1"/>
    <col min="7" max="7" width="11.5703125" customWidth="1"/>
    <col min="8" max="8" width="10.140625" customWidth="1"/>
    <col min="9" max="12" width="9.140625" customWidth="1"/>
    <col min="13" max="13" width="13.85546875" customWidth="1"/>
    <col min="14" max="20" width="9.140625" customWidth="1"/>
    <col min="21" max="21" width="31.28515625" customWidth="1"/>
    <col min="22" max="22" width="8.85546875" customWidth="1"/>
  </cols>
  <sheetData>
    <row r="1" spans="1:22" x14ac:dyDescent="0.25">
      <c r="A1" s="13" t="s">
        <v>14</v>
      </c>
      <c r="B1" s="13"/>
      <c r="C1" s="13"/>
      <c r="D1" s="13"/>
      <c r="E1" s="14"/>
      <c r="F1" s="14"/>
      <c r="G1" s="15"/>
      <c r="H1" s="16"/>
      <c r="J1" s="13" t="s">
        <v>15</v>
      </c>
      <c r="K1" s="13"/>
      <c r="L1" s="13"/>
      <c r="M1" s="13"/>
    </row>
    <row r="2" spans="1:22" x14ac:dyDescent="0.25">
      <c r="A2" s="9" t="s">
        <v>0</v>
      </c>
      <c r="B2" s="9" t="s">
        <v>20</v>
      </c>
      <c r="C2" s="9" t="s">
        <v>4</v>
      </c>
      <c r="D2" s="9" t="s">
        <v>1</v>
      </c>
      <c r="E2" s="10" t="s">
        <v>6</v>
      </c>
      <c r="F2" s="10" t="s">
        <v>7</v>
      </c>
      <c r="G2" s="11" t="s">
        <v>2</v>
      </c>
      <c r="H2" s="12" t="s">
        <v>3</v>
      </c>
      <c r="J2" s="9" t="s">
        <v>0</v>
      </c>
      <c r="K2" s="9" t="s">
        <v>16</v>
      </c>
      <c r="L2" s="9" t="s">
        <v>17</v>
      </c>
      <c r="M2" s="9" t="s">
        <v>23</v>
      </c>
      <c r="O2" s="19" t="s">
        <v>11</v>
      </c>
      <c r="P2" s="19" t="s">
        <v>24</v>
      </c>
      <c r="Q2" s="20"/>
      <c r="R2" s="19" t="s">
        <v>1</v>
      </c>
      <c r="S2" s="19" t="s">
        <v>10</v>
      </c>
      <c r="U2" s="19" t="s">
        <v>10</v>
      </c>
      <c r="V2" s="19" t="s">
        <v>11</v>
      </c>
    </row>
    <row r="3" spans="1:22" x14ac:dyDescent="0.25">
      <c r="A3" s="1">
        <f t="array" ref="A3">MAX(IF(Inputs!C:C=C3,IF(Inputs!D:D=D3,IF(Inputs!B:B=B3,Inputs!A:A))))</f>
        <v>43313</v>
      </c>
      <c r="B3" s="1" t="s">
        <v>21</v>
      </c>
      <c r="C3" t="s">
        <v>35</v>
      </c>
      <c r="D3" t="s">
        <v>19</v>
      </c>
      <c r="E3" s="4">
        <f t="array" ref="E3">MIN(IF(Inputs!$A$3:$A$49980=$A3,IF(Inputs!$C$3:$C$49980=$C3,IF(Inputs!$D$3:$D$49980=$D3,Inputs!E$3:E$49980))))</f>
        <v>24</v>
      </c>
      <c r="F3" s="4">
        <f t="array" ref="F3">MIN(IF(Inputs!$A$3:$A$49980=$A3,IF(Inputs!$C$3:$C$49980=$C3,IF(Inputs!$D$3:$D$49980=$D3,Inputs!F$3:F$49980))))</f>
        <v>109</v>
      </c>
      <c r="G3" s="3">
        <f>SUMIFS(Inputs!G$3:G$49980,Inputs!$A$3:$A$49980,$A3,Inputs!$C$3:$C$49980,$C3,Inputs!$D$3:$D$49980,$D3,Inputs!$E$3:$E$49980,$E3,Inputs!$F$3:$F$49980,$F3)</f>
        <v>2.15</v>
      </c>
      <c r="H3" s="2">
        <f>SUMIFS(Inputs!H$3:H$49980,Inputs!$A$3:$A$49980,$A3,Inputs!$C$3:$C$49980,$C3,Inputs!$D$3:$D$49980,$D3,Inputs!$E$3:$E$49980,$E3,Inputs!$F$3:$F$49980,$F3)</f>
        <v>0</v>
      </c>
      <c r="J3" s="1">
        <f t="array" ref="J3">MAX(IF(Inputs!K$3:K$49980=K3,IF(Inputs!L$3:L$49980=L3,Inputs!J$3:J$49980)))</f>
        <v>43313</v>
      </c>
      <c r="K3" t="s">
        <v>13</v>
      </c>
      <c r="L3" t="s">
        <v>18</v>
      </c>
      <c r="M3">
        <v>1.1713922582</v>
      </c>
      <c r="O3" t="s">
        <v>18</v>
      </c>
      <c r="P3" s="18" t="s">
        <v>27</v>
      </c>
      <c r="Q3" s="18"/>
      <c r="R3" t="s">
        <v>19</v>
      </c>
      <c r="S3" t="s">
        <v>19</v>
      </c>
      <c r="U3" t="s">
        <v>19</v>
      </c>
      <c r="V3" t="s">
        <v>18</v>
      </c>
    </row>
    <row r="4" spans="1:22" x14ac:dyDescent="0.25">
      <c r="A4" s="1">
        <f t="array" ref="A4">MAX(IF(Inputs!C:C=C4,IF(Inputs!D:D=D4,IF(Inputs!B:B=B4,Inputs!A:A))))</f>
        <v>43313</v>
      </c>
      <c r="B4" s="1" t="s">
        <v>22</v>
      </c>
      <c r="C4" t="s">
        <v>35</v>
      </c>
      <c r="D4" t="s">
        <v>19</v>
      </c>
      <c r="E4" s="4">
        <f t="array" ref="E4">MAX(IF(Inputs!$A$3:$A$49980=$A4,IF(Inputs!$C$3:$C$49980=$C4,IF(Inputs!$D$3:$D$49980=$D4,Inputs!E$3:E$49980))))</f>
        <v>110</v>
      </c>
      <c r="F4" s="4">
        <f t="array" ref="F4">MAX(IF(Inputs!$A$3:$A$49980=$A4,IF(Inputs!$C$3:$C$49980=$C4,IF(Inputs!$D$3:$D$49980=$D4,Inputs!F$3:F$49980))))</f>
        <v>828</v>
      </c>
      <c r="G4" s="3">
        <f>SUMIFS(Inputs!G$3:G$49980,Inputs!$A$3:$A$49980,$A4,Inputs!$C$3:$C$49980,$C4,Inputs!$D$3:$D$49980,$D4,Inputs!$E$3:$E$49980,$E4,Inputs!$F$3:$F$49980,$F4)</f>
        <v>0.85</v>
      </c>
      <c r="H4" s="2">
        <f>SUMIFS(Inputs!H$3:H$49980,Inputs!$A$3:$A$49980,$A4,Inputs!$C$3:$C$49980,$C4,Inputs!$D$3:$D$49980,$D4,Inputs!$E$3:$E$49980,$E4,Inputs!$F$3:$F$49980,$F4)</f>
        <v>1.2E-2</v>
      </c>
      <c r="J4" s="1">
        <f t="array" ref="J4">MAX(IF(Inputs!K$3:K$49980=K4,IF(Inputs!L$3:L$49980=L4,Inputs!J$3:J$49980)))</f>
        <v>43313</v>
      </c>
      <c r="K4" t="s">
        <v>13</v>
      </c>
      <c r="L4" t="s">
        <v>12</v>
      </c>
      <c r="M4">
        <v>0.89251582129999996</v>
      </c>
      <c r="O4" t="s">
        <v>13</v>
      </c>
      <c r="P4" s="18" t="s">
        <v>25</v>
      </c>
      <c r="Q4" s="18"/>
      <c r="R4" t="s">
        <v>5</v>
      </c>
      <c r="S4" t="s">
        <v>5</v>
      </c>
      <c r="U4" t="s">
        <v>5</v>
      </c>
      <c r="V4" t="s">
        <v>12</v>
      </c>
    </row>
    <row r="5" spans="1:22" x14ac:dyDescent="0.25">
      <c r="A5" s="1">
        <f t="array" ref="A5">MAX(IF(Inputs!C:C=C5,IF(Inputs!D:D=D5,IF(Inputs!B:B=B5,Inputs!A:A))))</f>
        <v>43313</v>
      </c>
      <c r="B5" s="1" t="s">
        <v>21</v>
      </c>
      <c r="C5" t="s">
        <v>32</v>
      </c>
      <c r="D5" t="s">
        <v>19</v>
      </c>
      <c r="E5" s="4">
        <f t="array" ref="E5">MIN(IF(Inputs!$A$3:$A$49980=$A5,IF(Inputs!$C$3:$C$49980=$C5,IF(Inputs!$D$3:$D$49980=$D5,Inputs!E$3:E$49980))))</f>
        <v>24</v>
      </c>
      <c r="F5" s="4">
        <f t="array" ref="F5">MIN(IF(Inputs!$A$3:$A$49980=$A5,IF(Inputs!$C$3:$C$49980=$C5,IF(Inputs!$D$3:$D$49980=$D5,Inputs!F$3:F$49980))))</f>
        <v>41</v>
      </c>
      <c r="G5" s="3">
        <f>SUMIFS(Inputs!G$3:G$49980,Inputs!$A$3:$A$49980,$A5,Inputs!$C$3:$C$49980,$C5,Inputs!$D$3:$D$49980,$D5,Inputs!$E$3:$E$49980,$E5,Inputs!$F$3:$F$49980,$F5)</f>
        <v>3.65</v>
      </c>
      <c r="H5" s="2">
        <f>SUMIFS(Inputs!H$3:H$49980,Inputs!$A$3:$A$49980,$A5,Inputs!$C$3:$C$49980,$C5,Inputs!$D$3:$D$49980,$D5,Inputs!$E$3:$E$49980,$E5,Inputs!$F$3:$F$49980,$F5)</f>
        <v>0</v>
      </c>
      <c r="J5" s="1">
        <f t="array" ref="J5">MAX(IF(Inputs!K$3:K$49980=K5,IF(Inputs!L$3:L$49980=L5,Inputs!J$3:J$49980)))</f>
        <v>43313</v>
      </c>
      <c r="K5" t="s">
        <v>18</v>
      </c>
      <c r="L5" t="s">
        <v>13</v>
      </c>
      <c r="M5">
        <v>0.85380035070000004</v>
      </c>
      <c r="O5" t="s">
        <v>12</v>
      </c>
      <c r="P5" t="s">
        <v>26</v>
      </c>
      <c r="R5" t="s">
        <v>8</v>
      </c>
      <c r="S5" t="s">
        <v>8</v>
      </c>
      <c r="U5" t="s">
        <v>8</v>
      </c>
      <c r="V5" t="s">
        <v>13</v>
      </c>
    </row>
    <row r="6" spans="1:22" x14ac:dyDescent="0.25">
      <c r="A6" s="1">
        <f t="array" ref="A6">MAX(IF(Inputs!C:C=C6,IF(Inputs!D:D=D6,IF(Inputs!B:B=B6,Inputs!A:A))))</f>
        <v>43313</v>
      </c>
      <c r="B6" s="1" t="s">
        <v>22</v>
      </c>
      <c r="C6" t="s">
        <v>32</v>
      </c>
      <c r="D6" t="s">
        <v>19</v>
      </c>
      <c r="E6" s="4">
        <f t="array" ref="E6">MAX(IF(Inputs!$A$3:$A$49980=$A6,IF(Inputs!$C$3:$C$49980=$C6,IF(Inputs!$D$3:$D$49980=$D6,Inputs!E$3:E$49980))))</f>
        <v>42</v>
      </c>
      <c r="F6" s="4">
        <f t="array" ref="F6">MAX(IF(Inputs!$A$3:$A$49980=$A6,IF(Inputs!$C$3:$C$49980=$C6,IF(Inputs!$D$3:$D$49980=$D6,Inputs!F$3:F$49980))))</f>
        <v>500</v>
      </c>
      <c r="G6" s="3">
        <f>SUMIFS(Inputs!G$3:G$49980,Inputs!$A$3:$A$49980,$A6,Inputs!$C$3:$C$49980,$C6,Inputs!$D$3:$D$49980,$D6,Inputs!$E$3:$E$49980,$E6,Inputs!$F$3:$F$49980,$F6)</f>
        <v>0.85</v>
      </c>
      <c r="H6" s="2">
        <f>SUMIFS(Inputs!H$3:H$49980,Inputs!$A$3:$A$49980,$A6,Inputs!$C$3:$C$49980,$C6,Inputs!$D$3:$D$49980,$D6,Inputs!$E$3:$E$49980,$E6,Inputs!$F$3:$F$49980,$F6)</f>
        <v>7.0000000000000007E-2</v>
      </c>
      <c r="J6" s="1">
        <f t="array" ref="J6">MAX(IF(Inputs!K$3:K$49980=K6,IF(Inputs!L$3:L$49980=L6,Inputs!J$3:J$49980)))</f>
        <v>43313</v>
      </c>
      <c r="K6" t="s">
        <v>18</v>
      </c>
      <c r="L6" t="s">
        <v>12</v>
      </c>
      <c r="M6">
        <v>0.76045511710000002</v>
      </c>
      <c r="R6" t="s">
        <v>29</v>
      </c>
      <c r="S6" t="s">
        <v>9</v>
      </c>
      <c r="U6" t="s">
        <v>9</v>
      </c>
      <c r="V6" t="s">
        <v>13</v>
      </c>
    </row>
    <row r="7" spans="1:22" x14ac:dyDescent="0.25">
      <c r="A7" s="1">
        <f t="array" ref="A7">MAX(IF(Inputs!C:C=C7,IF(Inputs!D:D=D7,IF(Inputs!B:B=B7,Inputs!A:A))))</f>
        <v>43313</v>
      </c>
      <c r="B7" s="1" t="s">
        <v>21</v>
      </c>
      <c r="C7" t="s">
        <v>35</v>
      </c>
      <c r="D7" t="s">
        <v>5</v>
      </c>
      <c r="E7" s="4">
        <f t="array" ref="E7">MIN(IF(Inputs!$A$3:$A$49980=$A7,IF(Inputs!$C$3:$C$49980=$C7,IF(Inputs!$D$3:$D$49980=$D7,Inputs!E$3:E$49980))))</f>
        <v>24</v>
      </c>
      <c r="F7" s="4">
        <f t="array" ref="F7">MIN(IF(Inputs!$A$3:$A$49980=$A7,IF(Inputs!$C$3:$C$49980=$C7,IF(Inputs!$D$3:$D$49980=$D7,Inputs!F$3:F$49980))))</f>
        <v>109</v>
      </c>
      <c r="G7" s="5">
        <f>SUMIFS(Inputs!G$3:G$49980,Inputs!$A$3:$A$49980,$A7,Inputs!$C$3:$C$49980,$C7,Inputs!$D$3:$D$49980,$D7,Inputs!$E$3:$E$49980,$E7,Inputs!$F$3:$F$49980,$F7)</f>
        <v>1.7</v>
      </c>
      <c r="H7" s="6">
        <f>SUMIFS(Inputs!H$3:H$49980,Inputs!$A$3:$A$49980,$A7,Inputs!$C$3:$C$49980,$C7,Inputs!$D$3:$D$49980,$D7,Inputs!$E$3:$E$49980,$E7,Inputs!$F$3:$F$49980,$F7)</f>
        <v>0</v>
      </c>
      <c r="J7" s="1">
        <f t="array" ref="J7">MAX(IF(Inputs!K$3:K$49980=K7,IF(Inputs!L$3:L$49980=L7,Inputs!J$3:J$49980)))</f>
        <v>43313</v>
      </c>
      <c r="K7" t="s">
        <v>12</v>
      </c>
      <c r="L7" t="s">
        <v>18</v>
      </c>
      <c r="M7">
        <v>1.3131976362</v>
      </c>
      <c r="R7" t="s">
        <v>30</v>
      </c>
      <c r="S7" t="s">
        <v>9</v>
      </c>
    </row>
    <row r="8" spans="1:22" x14ac:dyDescent="0.25">
      <c r="A8" s="1">
        <f t="array" ref="A8">MAX(IF(Inputs!C:C=C8,IF(Inputs!D:D=D8,IF(Inputs!B:B=B8,Inputs!A:A))))</f>
        <v>43313</v>
      </c>
      <c r="B8" s="1" t="s">
        <v>22</v>
      </c>
      <c r="C8" t="s">
        <v>35</v>
      </c>
      <c r="D8" t="s">
        <v>5</v>
      </c>
      <c r="E8" s="4">
        <f t="array" ref="E8">MAX(IF(Inputs!$A$3:$A$49980=$A8,IF(Inputs!$C$3:$C$49980=$C8,IF(Inputs!$D$3:$D$49980=$D8,Inputs!E$3:E$49980))))</f>
        <v>110</v>
      </c>
      <c r="F8" s="4">
        <f t="array" ref="F8">MAX(IF(Inputs!$A$3:$A$49980=$A8,IF(Inputs!$C$3:$C$49980=$C8,IF(Inputs!$D$3:$D$49980=$D8,Inputs!F$3:F$49980))))</f>
        <v>828</v>
      </c>
      <c r="G8" s="5">
        <f>SUMIFS(Inputs!G$3:G$49980,Inputs!$A$3:$A$49980,$A8,Inputs!$C$3:$C$49980,$C8,Inputs!$D$3:$D$49980,$D8,Inputs!$E$3:$E$49980,$E8,Inputs!$F$3:$F$49980,$F8)</f>
        <v>0.7</v>
      </c>
      <c r="H8" s="6">
        <f>SUMIFS(Inputs!H$3:H$49980,Inputs!$A$3:$A$49980,$A8,Inputs!$C$3:$C$49980,$C8,Inputs!$D$3:$D$49980,$D8,Inputs!$E$3:$E$49980,$E8,Inputs!$F$3:$F$49980,$F8)</f>
        <v>0.01</v>
      </c>
      <c r="J8" s="1">
        <f t="array" ref="J8">MAX(IF(Inputs!K$3:K$49980=K8,IF(Inputs!L$3:L$49980=L8,Inputs!J$3:J$49980)))</f>
        <v>43313</v>
      </c>
      <c r="K8" t="s">
        <v>12</v>
      </c>
      <c r="L8" t="s">
        <v>13</v>
      </c>
      <c r="M8">
        <v>1.1204283174</v>
      </c>
      <c r="R8" t="s">
        <v>31</v>
      </c>
      <c r="S8" t="s">
        <v>9</v>
      </c>
    </row>
    <row r="9" spans="1:22" x14ac:dyDescent="0.25">
      <c r="A9" s="1">
        <f t="array" ref="A9">MAX(IF(Inputs!C:C=C9,IF(Inputs!D:D=D9,IF(Inputs!B:B=B9,Inputs!A:A))))</f>
        <v>43313</v>
      </c>
      <c r="B9" s="1" t="s">
        <v>21</v>
      </c>
      <c r="C9" t="s">
        <v>32</v>
      </c>
      <c r="D9" t="s">
        <v>5</v>
      </c>
      <c r="E9" s="4">
        <f t="array" ref="E9">MIN(IF(Inputs!$A$3:$A$49980=$A9,IF(Inputs!$C$3:$C$49980=$C9,IF(Inputs!$D$3:$D$49980=$D9,Inputs!E$3:E$49980))))</f>
        <v>24</v>
      </c>
      <c r="F9" s="4">
        <f t="array" ref="F9">MIN(IF(Inputs!$A$3:$A$49980=$A9,IF(Inputs!$C$3:$C$49980=$C9,IF(Inputs!$D$3:$D$49980=$D9,Inputs!F$3:F$49980))))</f>
        <v>41</v>
      </c>
      <c r="G9" s="5">
        <f>SUMIFS(Inputs!G$3:G$49980,Inputs!$A$3:$A$49980,$A9,Inputs!$C$3:$C$49980,$C9,Inputs!$D$3:$D$49980,$D9,Inputs!$E$3:$E$49980,$E9,Inputs!$F$3:$F$49980,$F9)</f>
        <v>2.0499999999999998</v>
      </c>
      <c r="H9" s="6">
        <f>SUMIFS(Inputs!H$3:H$49980,Inputs!$A$3:$A$49980,$A9,Inputs!$C$3:$C$49980,$C9,Inputs!$D$3:$D$49980,$D9,Inputs!$E$3:$E$49980,$E9,Inputs!$F$3:$F$49980,$F9)</f>
        <v>0</v>
      </c>
      <c r="J9" s="1">
        <f t="array" ref="J9">MAX(IF(Inputs!K$3:K$49980=K9,IF(Inputs!L$3:L$49980=L9,Inputs!J$3:J$49980)))</f>
        <v>43313</v>
      </c>
      <c r="K9" t="s">
        <v>18</v>
      </c>
      <c r="L9" t="s">
        <v>18</v>
      </c>
      <c r="M9">
        <f>SUMIFS(Inputs!M$3:M$49980,Inputs!$J$3:$J$49980,$J9,Inputs!$K$3:$K$49980,$K9,Inputs!$L$3:$L$49980,$L9)</f>
        <v>1</v>
      </c>
    </row>
    <row r="10" spans="1:22" x14ac:dyDescent="0.25">
      <c r="A10" s="1">
        <f t="array" ref="A10">MAX(IF(Inputs!C:C=C10,IF(Inputs!D:D=D10,IF(Inputs!B:B=B10,Inputs!A:A))))</f>
        <v>43313</v>
      </c>
      <c r="B10" s="1" t="s">
        <v>22</v>
      </c>
      <c r="C10" t="s">
        <v>32</v>
      </c>
      <c r="D10" t="s">
        <v>5</v>
      </c>
      <c r="E10" s="4">
        <f t="array" ref="E10">MAX(IF(Inputs!$A$3:$A$49980=$A10,IF(Inputs!$C$3:$C$49980=$C10,IF(Inputs!$D$3:$D$49980=$D10,Inputs!E$3:E$49980))))</f>
        <v>42</v>
      </c>
      <c r="F10" s="4">
        <f t="array" ref="F10">MAX(IF(Inputs!$A$3:$A$49980=$A10,IF(Inputs!$C$3:$C$49980=$C10,IF(Inputs!$D$3:$D$49980=$D10,Inputs!F$3:F$49980))))</f>
        <v>500</v>
      </c>
      <c r="G10" s="5">
        <f>SUMIFS(Inputs!G$3:G$49980,Inputs!$A$3:$A$49980,$A10,Inputs!$C$3:$C$49980,$C10,Inputs!$D$3:$D$49980,$D10,Inputs!$E$3:$E$49980,$E10,Inputs!$F$3:$F$49980,$F10)</f>
        <v>0.7</v>
      </c>
      <c r="H10" s="6">
        <f>SUMIFS(Inputs!H$3:H$49980,Inputs!$A$3:$A$49980,$A10,Inputs!$C$3:$C$49980,$C10,Inputs!$D$3:$D$49980,$D10,Inputs!$E$3:$E$49980,$E10,Inputs!$F$3:$F$49980,$F10)</f>
        <v>4.4999999999999998E-2</v>
      </c>
      <c r="J10" s="1">
        <f t="array" ref="J10">MAX(IF(Inputs!K$3:K$49980=K10,IF(Inputs!L$3:L$49980=L10,Inputs!J$3:J$49980)))</f>
        <v>43313</v>
      </c>
      <c r="K10" t="s">
        <v>12</v>
      </c>
      <c r="L10" t="s">
        <v>12</v>
      </c>
      <c r="M10">
        <f>SUMIFS(Inputs!M$3:M$49980,Inputs!$J$3:$J$49980,$J10,Inputs!$K$3:$K$49980,$K10,Inputs!$L$3:$L$49980,$L10)</f>
        <v>1</v>
      </c>
    </row>
    <row r="11" spans="1:22" x14ac:dyDescent="0.25">
      <c r="A11" s="1">
        <f t="array" ref="A11">MAX(IF(Inputs!C:C=C11,IF(Inputs!D:D=D11,IF(Inputs!B:B=B11,Inputs!A:A))))</f>
        <v>43313</v>
      </c>
      <c r="B11" s="1" t="s">
        <v>21</v>
      </c>
      <c r="C11" t="s">
        <v>35</v>
      </c>
      <c r="D11" t="s">
        <v>8</v>
      </c>
      <c r="E11" s="4">
        <f t="array" ref="E11">MIN(IF(Inputs!$A$3:$A$49980=$A11,IF(Inputs!$C$3:$C$49980=$C11,IF(Inputs!$D$3:$D$49980=$D11,Inputs!E$3:E$49980))))</f>
        <v>24</v>
      </c>
      <c r="F11" s="4">
        <f t="array" ref="F11">MIN(IF(Inputs!$A$3:$A$49980=$A11,IF(Inputs!$C$3:$C$49980=$C11,IF(Inputs!$D$3:$D$49980=$D11,Inputs!F$3:F$49980))))</f>
        <v>109</v>
      </c>
      <c r="G11" s="7">
        <f>SUMIFS(Inputs!G$3:G$49980,Inputs!$A$3:$A$49980,$A11,Inputs!$C$3:$C$49980,$C11,Inputs!$D$3:$D$49980,$D11,Inputs!$E$3:$E$49980,$E11,Inputs!$F$3:$F$49980,$F11)</f>
        <v>1.9</v>
      </c>
      <c r="H11" s="8">
        <f>SUMIFS(Inputs!H$3:H$49980,Inputs!$A$3:$A$49980,$A11,Inputs!$C$3:$C$49980,$C11,Inputs!$D$3:$D$49980,$D11,Inputs!$E$3:$E$49980,$E11,Inputs!$F$3:$F$49980,$F11)</f>
        <v>0</v>
      </c>
      <c r="J11" s="1">
        <f t="array" ref="J11">MAX(IF(Inputs!K$3:K$49980=K11,IF(Inputs!L$3:L$49980=L11,Inputs!J$3:J$49980)))</f>
        <v>43313</v>
      </c>
      <c r="K11" t="s">
        <v>13</v>
      </c>
      <c r="L11" t="s">
        <v>13</v>
      </c>
      <c r="M11">
        <f>SUMIFS(Inputs!M$3:M$49980,Inputs!$J$3:$J$49980,$J11,Inputs!$K$3:$K$49980,$K11,Inputs!$L$3:$L$49980,$L11)</f>
        <v>1</v>
      </c>
    </row>
    <row r="12" spans="1:22" x14ac:dyDescent="0.25">
      <c r="A12" s="1">
        <f t="array" ref="A12">MAX(IF(Inputs!C:C=C12,IF(Inputs!D:D=D12,IF(Inputs!B:B=B12,Inputs!A:A))))</f>
        <v>43313</v>
      </c>
      <c r="B12" s="1" t="s">
        <v>22</v>
      </c>
      <c r="C12" t="s">
        <v>35</v>
      </c>
      <c r="D12" t="s">
        <v>8</v>
      </c>
      <c r="E12" s="4">
        <f t="array" ref="E12">MAX(IF(Inputs!$A$3:$A$49980=$A12,IF(Inputs!$C$3:$C$49980=$C12,IF(Inputs!$D$3:$D$49980=$D12,Inputs!E$3:E$49980))))</f>
        <v>110</v>
      </c>
      <c r="F12" s="4">
        <f t="array" ref="F12">MAX(IF(Inputs!$A$3:$A$49980=$A12,IF(Inputs!$C$3:$C$49980=$C12,IF(Inputs!$D$3:$D$49980=$D12,Inputs!F$3:F$49980))))</f>
        <v>828</v>
      </c>
      <c r="G12" s="7">
        <f>SUMIFS(Inputs!G$3:G$49980,Inputs!$A$3:$A$49980,$A12,Inputs!$C$3:$C$49980,$C12,Inputs!$D$3:$D$49980,$D12,Inputs!$E$3:$E$49980,$E12,Inputs!$F$3:$F$49980,$F12)</f>
        <v>0.6</v>
      </c>
      <c r="H12" s="8">
        <f>SUMIFS(Inputs!H$3:H$49980,Inputs!$A$3:$A$49980,$A12,Inputs!$C$3:$C$49980,$C12,Inputs!$D$3:$D$49980,$D12,Inputs!$E$3:$E$49980,$E12,Inputs!$F$3:$F$49980,$F12)</f>
        <v>1.2E-2</v>
      </c>
    </row>
    <row r="13" spans="1:22" x14ac:dyDescent="0.25">
      <c r="A13" s="1">
        <f t="array" ref="A13">MAX(IF(Inputs!C:C=C13,IF(Inputs!D:D=D13,IF(Inputs!B:B=B13,Inputs!A:A))))</f>
        <v>43313</v>
      </c>
      <c r="B13" s="1" t="s">
        <v>21</v>
      </c>
      <c r="C13" t="s">
        <v>32</v>
      </c>
      <c r="D13" t="s">
        <v>8</v>
      </c>
      <c r="E13" s="4">
        <f t="array" ref="E13">MIN(IF(Inputs!$A$3:$A$49980=$A13,IF(Inputs!$C$3:$C$49980=$C13,IF(Inputs!$D$3:$D$49980=$D13,Inputs!E$3:E$49980))))</f>
        <v>24</v>
      </c>
      <c r="F13" s="4">
        <f t="array" ref="F13">MIN(IF(Inputs!$A$3:$A$49980=$A13,IF(Inputs!$C$3:$C$49980=$C13,IF(Inputs!$D$3:$D$49980=$D13,Inputs!F$3:F$49980))))</f>
        <v>41</v>
      </c>
      <c r="G13" s="7">
        <f>SUMIFS(Inputs!G$3:G$49980,Inputs!$A$3:$A$49980,$A13,Inputs!$C$3:$C$49980,$C13,Inputs!$D$3:$D$49980,$D13,Inputs!$E$3:$E$49980,$E13,Inputs!$F$3:$F$49980,$F13)</f>
        <v>2.4</v>
      </c>
      <c r="H13" s="8">
        <f>SUMIFS(Inputs!H$3:H$49980,Inputs!$A$3:$A$49980,$A13,Inputs!$C$3:$C$49980,$C13,Inputs!$D$3:$D$49980,$D13,Inputs!$E$3:$E$49980,$E13,Inputs!$F$3:$F$49980,$F13)</f>
        <v>0</v>
      </c>
    </row>
    <row r="14" spans="1:22" x14ac:dyDescent="0.25">
      <c r="A14" s="1">
        <f t="array" ref="A14">MAX(IF(Inputs!C:C=C14,IF(Inputs!D:D=D14,IF(Inputs!B:B=B14,Inputs!A:A))))</f>
        <v>43313</v>
      </c>
      <c r="B14" s="1" t="s">
        <v>22</v>
      </c>
      <c r="C14" t="s">
        <v>32</v>
      </c>
      <c r="D14" t="s">
        <v>8</v>
      </c>
      <c r="E14" s="4">
        <f t="array" ref="E14">MAX(IF(Inputs!$A$3:$A$49980=$A14,IF(Inputs!$C$3:$C$49980=$C14,IF(Inputs!$D$3:$D$49980=$D14,Inputs!E$3:E$49980))))</f>
        <v>42</v>
      </c>
      <c r="F14" s="4">
        <f t="array" ref="F14">MAX(IF(Inputs!$A$3:$A$49980=$A14,IF(Inputs!$C$3:$C$49980=$C14,IF(Inputs!$D$3:$D$49980=$D14,Inputs!F$3:F$49980))))</f>
        <v>500</v>
      </c>
      <c r="G14" s="7">
        <f>SUMIFS(Inputs!G$3:G$49980,Inputs!$A$3:$A$49980,$A14,Inputs!$C$3:$C$49980,$C14,Inputs!$D$3:$D$49980,$D14,Inputs!$E$3:$E$49980,$E14,Inputs!$F$3:$F$49980,$F14)</f>
        <v>0.6</v>
      </c>
      <c r="H14" s="8">
        <f>SUMIFS(Inputs!H$3:H$49980,Inputs!$A$3:$A$49980,$A14,Inputs!$C$3:$C$49980,$C14,Inputs!$D$3:$D$49980,$D14,Inputs!$E$3:$E$49980,$E14,Inputs!$F$3:$F$49980,$F14)</f>
        <v>0.06</v>
      </c>
    </row>
    <row r="15" spans="1:22" x14ac:dyDescent="0.25">
      <c r="A15" s="1">
        <f t="array" ref="A15">MAX(IF(Inputs!C:C=C15,IF(Inputs!D:D=D15,IF(Inputs!B:B=B15,Inputs!A:A))))</f>
        <v>43313</v>
      </c>
      <c r="B15" s="1" t="s">
        <v>21</v>
      </c>
      <c r="C15" t="s">
        <v>35</v>
      </c>
      <c r="D15" t="s">
        <v>9</v>
      </c>
      <c r="E15" s="4">
        <f t="array" ref="E15">MIN(IF(Inputs!$A$3:$A$49980=$A15,IF(Inputs!$C$3:$C$49980=$C15,IF(Inputs!$D$3:$D$49980=$D15,Inputs!E$3:E$49980))))</f>
        <v>24</v>
      </c>
      <c r="F15" s="4">
        <f t="array" ref="F15">MIN(IF(Inputs!$A$3:$A$49980=$A15,IF(Inputs!$C$3:$C$49980=$C15,IF(Inputs!$D$3:$D$49980=$D15,Inputs!F$3:F$49980))))</f>
        <v>109</v>
      </c>
      <c r="G15" s="7">
        <f>SUMIFS(Inputs!G$3:G$49980,Inputs!$A$3:$A$49980,$A15,Inputs!$C$3:$C$49980,$C15,Inputs!$D$3:$D$49980,$D15,Inputs!$E$3:$E$49980,$E15,Inputs!$F$3:$F$49980,$F15)</f>
        <v>1.9</v>
      </c>
      <c r="H15" s="8">
        <f>SUMIFS(Inputs!H$3:H$49980,Inputs!$A$3:$A$49980,$A15,Inputs!$C$3:$C$49980,$C15,Inputs!$D$3:$D$49980,$D15,Inputs!$E$3:$E$49980,$E15,Inputs!$F$3:$F$49980,$F15)</f>
        <v>0</v>
      </c>
    </row>
    <row r="16" spans="1:22" x14ac:dyDescent="0.25">
      <c r="A16" s="1">
        <f t="array" ref="A16">MAX(IF(Inputs!C:C=C16,IF(Inputs!D:D=D16,IF(Inputs!B:B=B16,Inputs!A:A))))</f>
        <v>43313</v>
      </c>
      <c r="B16" s="1" t="s">
        <v>22</v>
      </c>
      <c r="C16" t="s">
        <v>35</v>
      </c>
      <c r="D16" t="s">
        <v>9</v>
      </c>
      <c r="E16" s="4">
        <f t="array" ref="E16">MAX(IF(Inputs!$A$3:$A$49980=$A16,IF(Inputs!$C$3:$C$49980=$C16,IF(Inputs!$D$3:$D$49980=$D16,Inputs!E$3:E$49980))))</f>
        <v>110</v>
      </c>
      <c r="F16" s="4">
        <f t="array" ref="F16">MAX(IF(Inputs!$A$3:$A$49980=$A16,IF(Inputs!$C$3:$C$49980=$C16,IF(Inputs!$D$3:$D$49980=$D16,Inputs!F$3:F$49980))))</f>
        <v>828</v>
      </c>
      <c r="G16" s="7">
        <f>SUMIFS(Inputs!G$3:G$49980,Inputs!$A$3:$A$49980,$A16,Inputs!$C$3:$C$49980,$C16,Inputs!$D$3:$D$49980,$D16,Inputs!$E$3:$E$49980,$E16,Inputs!$F$3:$F$49980,$F16)</f>
        <v>0.6</v>
      </c>
      <c r="H16" s="8">
        <f>SUMIFS(Inputs!H$3:H$49980,Inputs!$A$3:$A$49980,$A16,Inputs!$C$3:$C$49980,$C16,Inputs!$D$3:$D$49980,$D16,Inputs!$E$3:$E$49980,$E16,Inputs!$F$3:$F$49980,$F16)</f>
        <v>1.2E-2</v>
      </c>
    </row>
    <row r="17" spans="1:8" x14ac:dyDescent="0.25">
      <c r="A17" s="1">
        <f t="array" ref="A17">MAX(IF(Inputs!C:C=C17,IF(Inputs!D:D=D17,IF(Inputs!B:B=B17,Inputs!A:A))))</f>
        <v>43313</v>
      </c>
      <c r="B17" s="1" t="s">
        <v>21</v>
      </c>
      <c r="C17" t="s">
        <v>32</v>
      </c>
      <c r="D17" t="s">
        <v>9</v>
      </c>
      <c r="E17" s="4">
        <f t="array" ref="E17">MIN(IF(Inputs!$A$3:$A$49980=$A17,IF(Inputs!$C$3:$C$49980=$C17,IF(Inputs!$D$3:$D$49980=$D17,Inputs!E$3:E$49980))))</f>
        <v>24</v>
      </c>
      <c r="F17" s="4">
        <f t="array" ref="F17">MIN(IF(Inputs!$A$3:$A$49980=$A17,IF(Inputs!$C$3:$C$49980=$C17,IF(Inputs!$D$3:$D$49980=$D17,Inputs!F$3:F$49980))))</f>
        <v>41</v>
      </c>
      <c r="G17" s="7">
        <f>SUMIFS(Inputs!G$3:G$49980,Inputs!$A$3:$A$49980,$A17,Inputs!$C$3:$C$49980,$C17,Inputs!$D$3:$D$49980,$D17,Inputs!$E$3:$E$49980,$E17,Inputs!$F$3:$F$49980,$F17)</f>
        <v>2.4</v>
      </c>
      <c r="H17" s="8">
        <f>SUMIFS(Inputs!H$3:H$49980,Inputs!$A$3:$A$49980,$A17,Inputs!$C$3:$C$49980,$C17,Inputs!$D$3:$D$49980,$D17,Inputs!$E$3:$E$49980,$E17,Inputs!$F$3:$F$49980,$F17)</f>
        <v>0</v>
      </c>
    </row>
    <row r="18" spans="1:8" x14ac:dyDescent="0.25">
      <c r="A18" s="1">
        <f t="array" ref="A18">MAX(IF(Inputs!C:C=C18,IF(Inputs!D:D=D18,IF(Inputs!B:B=B18,Inputs!A:A))))</f>
        <v>43313</v>
      </c>
      <c r="B18" s="1" t="s">
        <v>22</v>
      </c>
      <c r="C18" t="s">
        <v>32</v>
      </c>
      <c r="D18" t="s">
        <v>9</v>
      </c>
      <c r="E18" s="4">
        <f t="array" ref="E18">MAX(IF(Inputs!$A$3:$A$49980=$A18,IF(Inputs!$C$3:$C$49980=$C18,IF(Inputs!$D$3:$D$49980=$D18,Inputs!E$3:E$49980))))</f>
        <v>42</v>
      </c>
      <c r="F18" s="4">
        <f t="array" ref="F18">MAX(IF(Inputs!$A$3:$A$49980=$A18,IF(Inputs!$C$3:$C$49980=$C18,IF(Inputs!$D$3:$D$49980=$D18,Inputs!F$3:F$49980))))</f>
        <v>500</v>
      </c>
      <c r="G18" s="7">
        <f>SUMIFS(Inputs!G$3:G$49980,Inputs!$A$3:$A$49980,$A18,Inputs!$C$3:$C$49980,$C18,Inputs!$D$3:$D$49980,$D18,Inputs!$E$3:$E$49980,$E18,Inputs!$F$3:$F$49980,$F18)</f>
        <v>0.6</v>
      </c>
      <c r="H18" s="8">
        <f>SUMIFS(Inputs!H$3:H$49980,Inputs!$A$3:$A$49980,$A18,Inputs!$C$3:$C$49980,$C18,Inputs!$D$3:$D$49980,$D18,Inputs!$E$3:$E$49980,$E18,Inputs!$F$3:$F$49980,$F18)</f>
        <v>0.06</v>
      </c>
    </row>
  </sheetData>
  <sheetProtection algorithmName="SHA-512" hashValue="UMKlC+e3bXa8bD6Lk2vH6GIztDCIsUyKMlUPhcBgNo1GkR8I2mhVTE9+7YBY+0eSDIB7YVRMK/QOxWUgIAvjHA==" saltValue="1OEVAPc+cBnGjbRL2gxiQQ==" spinCount="100000" sheet="1" selectLockedCells="1" selectUnlockedCells="1"/>
  <autoFilter ref="A2:H18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A1:O20"/>
  <sheetViews>
    <sheetView workbookViewId="0">
      <selection activeCell="G23" sqref="G23"/>
    </sheetView>
  </sheetViews>
  <sheetFormatPr defaultRowHeight="15" x14ac:dyDescent="0.25"/>
  <cols>
    <col min="1" max="2" width="13.42578125" customWidth="1"/>
    <col min="3" max="3" width="14.7109375" bestFit="1" customWidth="1"/>
    <col min="4" max="4" width="31.28515625" customWidth="1"/>
    <col min="5" max="5" width="16.5703125" style="4" customWidth="1"/>
    <col min="6" max="6" width="16.85546875" style="4" customWidth="1"/>
    <col min="7" max="7" width="11.5703125" style="3" customWidth="1"/>
    <col min="8" max="8" width="10.140625" style="2" customWidth="1"/>
    <col min="9" max="9" width="9.140625" customWidth="1"/>
    <col min="10" max="10" width="13.28515625" customWidth="1"/>
    <col min="11" max="11" width="14" customWidth="1"/>
    <col min="12" max="12" width="11.42578125" customWidth="1"/>
    <col min="13" max="13" width="13.85546875" customWidth="1"/>
    <col min="14" max="17" width="9.140625" customWidth="1"/>
  </cols>
  <sheetData>
    <row r="1" spans="1:15" x14ac:dyDescent="0.25">
      <c r="A1" s="13" t="s">
        <v>14</v>
      </c>
      <c r="B1" s="13"/>
      <c r="C1" s="13"/>
      <c r="D1" s="13"/>
      <c r="E1" s="14"/>
      <c r="F1" s="14"/>
      <c r="G1" s="15"/>
      <c r="H1" s="16"/>
      <c r="J1" s="13" t="s">
        <v>15</v>
      </c>
      <c r="K1" s="13"/>
      <c r="L1" s="13"/>
      <c r="M1" s="13"/>
      <c r="O1" t="s">
        <v>28</v>
      </c>
    </row>
    <row r="2" spans="1:15" x14ac:dyDescent="0.25">
      <c r="A2" s="9" t="s">
        <v>0</v>
      </c>
      <c r="B2" s="9" t="s">
        <v>20</v>
      </c>
      <c r="C2" s="9" t="s">
        <v>4</v>
      </c>
      <c r="D2" s="9" t="s">
        <v>1</v>
      </c>
      <c r="E2" s="10" t="s">
        <v>6</v>
      </c>
      <c r="F2" s="10" t="s">
        <v>7</v>
      </c>
      <c r="G2" s="11" t="s">
        <v>2</v>
      </c>
      <c r="H2" s="12" t="s">
        <v>3</v>
      </c>
      <c r="J2" s="9" t="s">
        <v>0</v>
      </c>
      <c r="K2" s="9" t="s">
        <v>16</v>
      </c>
      <c r="L2" s="9" t="s">
        <v>17</v>
      </c>
      <c r="M2" s="9" t="s">
        <v>23</v>
      </c>
    </row>
    <row r="3" spans="1:15" x14ac:dyDescent="0.25">
      <c r="A3" s="1">
        <v>43313</v>
      </c>
      <c r="B3" s="1" t="s">
        <v>21</v>
      </c>
      <c r="C3" t="s">
        <v>35</v>
      </c>
      <c r="D3" t="s">
        <v>19</v>
      </c>
      <c r="E3" s="4">
        <v>24</v>
      </c>
      <c r="F3" s="4">
        <v>109</v>
      </c>
      <c r="G3" s="3">
        <v>2.15</v>
      </c>
      <c r="H3" s="2">
        <v>0</v>
      </c>
      <c r="J3" s="1">
        <v>43313</v>
      </c>
      <c r="K3" t="s">
        <v>13</v>
      </c>
      <c r="L3" t="s">
        <v>18</v>
      </c>
      <c r="M3">
        <v>0.85380035070000004</v>
      </c>
    </row>
    <row r="4" spans="1:15" x14ac:dyDescent="0.25">
      <c r="A4" s="1">
        <v>43313</v>
      </c>
      <c r="B4" s="1" t="s">
        <v>22</v>
      </c>
      <c r="C4" t="s">
        <v>35</v>
      </c>
      <c r="D4" t="s">
        <v>19</v>
      </c>
      <c r="E4" s="4">
        <v>110</v>
      </c>
      <c r="F4" s="4">
        <v>828</v>
      </c>
      <c r="G4" s="3">
        <v>0.85</v>
      </c>
      <c r="H4" s="2">
        <v>1.2E-2</v>
      </c>
      <c r="I4" s="17"/>
      <c r="J4" s="1">
        <v>43313</v>
      </c>
      <c r="K4" t="s">
        <v>13</v>
      </c>
      <c r="L4" t="s">
        <v>12</v>
      </c>
      <c r="M4">
        <v>1.1204283174</v>
      </c>
    </row>
    <row r="5" spans="1:15" hidden="1" x14ac:dyDescent="0.25">
      <c r="A5" s="1">
        <v>43313</v>
      </c>
      <c r="B5" s="1" t="s">
        <v>21</v>
      </c>
      <c r="C5" t="s">
        <v>32</v>
      </c>
      <c r="D5" t="s">
        <v>19</v>
      </c>
      <c r="E5" s="4">
        <v>24</v>
      </c>
      <c r="F5" s="4">
        <v>41</v>
      </c>
      <c r="G5" s="3">
        <v>3.65</v>
      </c>
      <c r="H5" s="2">
        <v>0</v>
      </c>
      <c r="J5" s="1">
        <v>43313</v>
      </c>
      <c r="K5" t="s">
        <v>18</v>
      </c>
      <c r="L5" t="s">
        <v>13</v>
      </c>
      <c r="M5">
        <v>1.1713922582</v>
      </c>
    </row>
    <row r="6" spans="1:15" hidden="1" x14ac:dyDescent="0.25">
      <c r="A6" s="1">
        <v>43313</v>
      </c>
      <c r="B6" s="1" t="s">
        <v>22</v>
      </c>
      <c r="C6" t="s">
        <v>32</v>
      </c>
      <c r="D6" t="s">
        <v>19</v>
      </c>
      <c r="E6" s="4">
        <v>42</v>
      </c>
      <c r="F6" s="4">
        <v>500</v>
      </c>
      <c r="G6" s="3">
        <v>0.85</v>
      </c>
      <c r="H6" s="2">
        <v>7.0000000000000007E-2</v>
      </c>
      <c r="I6" s="17"/>
      <c r="J6" s="1">
        <v>43313</v>
      </c>
      <c r="K6" t="s">
        <v>18</v>
      </c>
      <c r="L6" t="s">
        <v>12</v>
      </c>
      <c r="M6">
        <v>1.3131976362</v>
      </c>
    </row>
    <row r="7" spans="1:15" x14ac:dyDescent="0.25">
      <c r="A7" s="1">
        <v>43313</v>
      </c>
      <c r="B7" s="1" t="s">
        <v>21</v>
      </c>
      <c r="C7" t="s">
        <v>35</v>
      </c>
      <c r="D7" t="s">
        <v>5</v>
      </c>
      <c r="E7" s="4">
        <v>24</v>
      </c>
      <c r="F7" s="4">
        <v>109</v>
      </c>
      <c r="G7" s="5">
        <v>1.7</v>
      </c>
      <c r="H7" s="6">
        <v>0</v>
      </c>
      <c r="J7" s="1">
        <v>43313</v>
      </c>
      <c r="K7" t="s">
        <v>12</v>
      </c>
      <c r="L7" t="s">
        <v>18</v>
      </c>
      <c r="M7">
        <v>0.76045511710000002</v>
      </c>
    </row>
    <row r="8" spans="1:15" x14ac:dyDescent="0.25">
      <c r="A8" s="1">
        <v>43313</v>
      </c>
      <c r="B8" s="1" t="s">
        <v>22</v>
      </c>
      <c r="C8" t="s">
        <v>35</v>
      </c>
      <c r="D8" t="s">
        <v>5</v>
      </c>
      <c r="E8" s="4">
        <v>110</v>
      </c>
      <c r="F8" s="4">
        <v>828</v>
      </c>
      <c r="G8" s="5">
        <v>0.7</v>
      </c>
      <c r="H8" s="6">
        <v>0.01</v>
      </c>
      <c r="I8" s="17"/>
      <c r="J8" s="1">
        <v>43313</v>
      </c>
      <c r="K8" t="s">
        <v>12</v>
      </c>
      <c r="L8" t="s">
        <v>13</v>
      </c>
      <c r="M8">
        <v>0.89251582129999996</v>
      </c>
    </row>
    <row r="9" spans="1:15" hidden="1" x14ac:dyDescent="0.25">
      <c r="A9" s="1">
        <v>43313</v>
      </c>
      <c r="B9" s="1" t="s">
        <v>21</v>
      </c>
      <c r="C9" t="s">
        <v>32</v>
      </c>
      <c r="D9" t="s">
        <v>5</v>
      </c>
      <c r="E9" s="4">
        <v>24</v>
      </c>
      <c r="F9" s="4">
        <v>41</v>
      </c>
      <c r="G9" s="5">
        <v>2.0499999999999998</v>
      </c>
      <c r="H9" s="6">
        <v>0</v>
      </c>
      <c r="J9" s="1">
        <v>43313</v>
      </c>
      <c r="K9" t="s">
        <v>18</v>
      </c>
      <c r="L9" t="s">
        <v>18</v>
      </c>
      <c r="M9">
        <v>1</v>
      </c>
    </row>
    <row r="10" spans="1:15" hidden="1" x14ac:dyDescent="0.25">
      <c r="A10" s="1">
        <v>43313</v>
      </c>
      <c r="B10" s="1" t="s">
        <v>22</v>
      </c>
      <c r="C10" t="s">
        <v>32</v>
      </c>
      <c r="D10" t="s">
        <v>5</v>
      </c>
      <c r="E10" s="4">
        <v>42</v>
      </c>
      <c r="F10" s="4">
        <v>500</v>
      </c>
      <c r="G10" s="5">
        <v>0.7</v>
      </c>
      <c r="H10" s="6">
        <v>4.4999999999999998E-2</v>
      </c>
      <c r="J10" s="1">
        <v>43313</v>
      </c>
      <c r="K10" t="s">
        <v>12</v>
      </c>
      <c r="L10" t="s">
        <v>12</v>
      </c>
      <c r="M10">
        <v>1</v>
      </c>
    </row>
    <row r="11" spans="1:15" x14ac:dyDescent="0.25">
      <c r="A11" s="1">
        <v>43313</v>
      </c>
      <c r="B11" s="1" t="s">
        <v>21</v>
      </c>
      <c r="C11" t="s">
        <v>35</v>
      </c>
      <c r="D11" t="s">
        <v>8</v>
      </c>
      <c r="E11" s="4">
        <v>24</v>
      </c>
      <c r="F11" s="4">
        <v>109</v>
      </c>
      <c r="G11" s="7">
        <v>1.9</v>
      </c>
      <c r="H11" s="8">
        <v>0</v>
      </c>
      <c r="J11" s="1">
        <v>43313</v>
      </c>
      <c r="K11" t="s">
        <v>13</v>
      </c>
      <c r="L11" t="s">
        <v>13</v>
      </c>
      <c r="M11">
        <v>1</v>
      </c>
    </row>
    <row r="12" spans="1:15" x14ac:dyDescent="0.25">
      <c r="A12" s="1">
        <v>43313</v>
      </c>
      <c r="B12" s="1" t="s">
        <v>22</v>
      </c>
      <c r="C12" t="s">
        <v>35</v>
      </c>
      <c r="D12" t="s">
        <v>8</v>
      </c>
      <c r="E12" s="4">
        <v>110</v>
      </c>
      <c r="F12" s="4">
        <v>828</v>
      </c>
      <c r="G12" s="7">
        <v>0.6</v>
      </c>
      <c r="H12" s="8">
        <v>1.2E-2</v>
      </c>
    </row>
    <row r="13" spans="1:15" hidden="1" x14ac:dyDescent="0.25">
      <c r="A13" s="1">
        <v>43313</v>
      </c>
      <c r="B13" s="1" t="s">
        <v>21</v>
      </c>
      <c r="C13" t="s">
        <v>32</v>
      </c>
      <c r="D13" t="s">
        <v>8</v>
      </c>
      <c r="E13" s="4">
        <v>24</v>
      </c>
      <c r="F13" s="4">
        <v>41</v>
      </c>
      <c r="G13" s="7">
        <v>2.4</v>
      </c>
      <c r="H13" s="8">
        <v>0</v>
      </c>
    </row>
    <row r="14" spans="1:15" hidden="1" x14ac:dyDescent="0.25">
      <c r="A14" s="1">
        <v>43313</v>
      </c>
      <c r="B14" s="1" t="s">
        <v>22</v>
      </c>
      <c r="C14" t="s">
        <v>32</v>
      </c>
      <c r="D14" t="s">
        <v>8</v>
      </c>
      <c r="E14" s="4">
        <v>42</v>
      </c>
      <c r="F14" s="4">
        <v>500</v>
      </c>
      <c r="G14" s="7">
        <v>0.6</v>
      </c>
      <c r="H14" s="8">
        <v>0.06</v>
      </c>
    </row>
    <row r="15" spans="1:15" x14ac:dyDescent="0.25">
      <c r="A15" s="1">
        <v>43313</v>
      </c>
      <c r="B15" s="1" t="s">
        <v>21</v>
      </c>
      <c r="C15" t="s">
        <v>35</v>
      </c>
      <c r="D15" t="s">
        <v>9</v>
      </c>
      <c r="E15" s="4">
        <v>24</v>
      </c>
      <c r="F15" s="4">
        <v>109</v>
      </c>
      <c r="G15" s="7">
        <v>1.9</v>
      </c>
      <c r="H15" s="8">
        <v>0</v>
      </c>
    </row>
    <row r="16" spans="1:15" x14ac:dyDescent="0.25">
      <c r="A16" s="1">
        <v>43313</v>
      </c>
      <c r="B16" s="1" t="s">
        <v>22</v>
      </c>
      <c r="C16" t="s">
        <v>35</v>
      </c>
      <c r="D16" t="s">
        <v>9</v>
      </c>
      <c r="E16" s="4">
        <v>110</v>
      </c>
      <c r="F16" s="4">
        <v>828</v>
      </c>
      <c r="G16" s="7">
        <v>0.6</v>
      </c>
      <c r="H16" s="8">
        <v>1.2E-2</v>
      </c>
    </row>
    <row r="17" spans="1:8" hidden="1" x14ac:dyDescent="0.25">
      <c r="A17" s="1">
        <v>43313</v>
      </c>
      <c r="B17" s="1" t="s">
        <v>21</v>
      </c>
      <c r="C17" t="s">
        <v>32</v>
      </c>
      <c r="D17" t="s">
        <v>9</v>
      </c>
      <c r="E17" s="4">
        <v>24</v>
      </c>
      <c r="F17" s="4">
        <v>41</v>
      </c>
      <c r="G17" s="7">
        <v>2.4</v>
      </c>
      <c r="H17" s="8">
        <v>0</v>
      </c>
    </row>
    <row r="18" spans="1:8" hidden="1" x14ac:dyDescent="0.25">
      <c r="A18" s="1">
        <v>43313</v>
      </c>
      <c r="B18" s="1" t="s">
        <v>22</v>
      </c>
      <c r="C18" t="s">
        <v>32</v>
      </c>
      <c r="D18" t="s">
        <v>9</v>
      </c>
      <c r="E18" s="4">
        <v>42</v>
      </c>
      <c r="F18" s="4">
        <v>500</v>
      </c>
      <c r="G18" s="7">
        <v>0.6</v>
      </c>
      <c r="H18" s="8">
        <v>0.06</v>
      </c>
    </row>
    <row r="19" spans="1:8" x14ac:dyDescent="0.25">
      <c r="A19" s="1"/>
      <c r="B19" s="1"/>
    </row>
    <row r="20" spans="1:8" x14ac:dyDescent="0.25">
      <c r="A20" s="1"/>
    </row>
  </sheetData>
  <sheetProtection algorithmName="SHA-512" hashValue="t/4BwRpEpgIaWJd4NDQgEgdCvDJOIsRdQj5yeYJ6CCscIuaFBh5u2UxfnVkZnARbaYSgl39k5ygmBaHxVFwYlg==" saltValue="HOd8/YuDpOcB+GOii5rRRQ==" spinCount="100000" sheet="1" selectLockedCells="1" selectUnlockedCells="1"/>
  <autoFilter ref="A2:H18">
    <filterColumn colId="2">
      <filters>
        <filter val="Schwarze Tinte"/>
      </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RoyaltyCalculator</vt:lpstr>
      <vt:lpstr>Lookup Tables</vt:lpstr>
      <vt:lpstr>Inputs</vt:lpstr>
    </vt:vector>
  </TitlesOfParts>
  <Company>Amazon 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Kriza, Melissa</dc:creator>
  <cp:lastModifiedBy>Oliveira, Marcone</cp:lastModifiedBy>
  <cp:lastPrinted>2018-07-31T21:32:06Z</cp:lastPrinted>
  <dcterms:created xsi:type="dcterms:W3CDTF">2018-07-25T17:46:10Z</dcterms:created>
  <dcterms:modified xsi:type="dcterms:W3CDTF">2018-08-30T04:31:45Z</dcterms:modified>
</cp:coreProperties>
</file>